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20" windowWidth="25815" windowHeight="14520" tabRatio="914" activeTab="5"/>
  </bookViews>
  <sheets>
    <sheet name="Summenblatt" sheetId="1" r:id="rId1"/>
    <sheet name="BPH-Thermisch" sheetId="2" r:id="rId2"/>
    <sheet name="BPH-Schallschutz" sheetId="3" r:id="rId3"/>
    <sheet name="BPH-Raumakustik" sheetId="4" r:id="rId4"/>
    <sheet name="Brandschutz" sheetId="5" r:id="rId5"/>
    <sheet name="Brandschutz nach AHO" sheetId="6" r:id="rId6"/>
  </sheets>
  <definedNames>
    <definedName name="_1">'Summenblatt'!$K$7</definedName>
    <definedName name="_1_9" comment="KB 1-9 = Errichtungskosten">'Summenblatt'!$K$38</definedName>
    <definedName name="_2">'Summenblatt'!$K$9</definedName>
    <definedName name="_3">'Summenblatt'!$K$11</definedName>
    <definedName name="_3.01">'Summenblatt'!$K$12</definedName>
    <definedName name="_3.02">'Summenblatt'!$K$13</definedName>
    <definedName name="_3.03">'Summenblatt'!$K$14</definedName>
    <definedName name="_3.04">'Summenblatt'!$K$15</definedName>
    <definedName name="_3.05">'Summenblatt'!$K$16</definedName>
    <definedName name="_3.06">'Summenblatt'!$K$17</definedName>
    <definedName name="_3.07">'Summenblatt'!$K$18</definedName>
    <definedName name="_3.08">'Summenblatt'!$K$19</definedName>
    <definedName name="_4">'Summenblatt'!$K$21</definedName>
    <definedName name="_5">'Summenblatt'!$K$23</definedName>
    <definedName name="_5.01">'Summenblatt'!$K$24</definedName>
    <definedName name="_5.02">'Summenblatt'!$K$25</definedName>
    <definedName name="_5.03">'Summenblatt'!$K$26</definedName>
    <definedName name="_6">'Summenblatt'!$K$28</definedName>
    <definedName name="_7">'Summenblatt'!$K$30</definedName>
    <definedName name="_8">'Summenblatt'!$K$32</definedName>
    <definedName name="_9">'Summenblatt'!$K$34</definedName>
    <definedName name="_Brand" comment="Brandschutz">'Brandschutz'!$I$29</definedName>
    <definedName name="_Brand_AHO" comment="Brandschutz nach AHO">'Brandschutz nach AHO'!$L$92</definedName>
    <definedName name="_EK">'Summenblatt'!$K$38</definedName>
    <definedName name="_mvB" comment="mitzuverarbeitende Bausubstanz">'Summenblatt'!$G$43</definedName>
    <definedName name="Brand_ohne_NK">'Brandschutz'!$I$24</definedName>
    <definedName name="_xlnm.Print_Area" localSheetId="3">'BPH-Raumakustik'!$A$1:$J$94</definedName>
    <definedName name="_xlnm.Print_Area" localSheetId="2">'BPH-Schallschutz'!$A$1:$J$93</definedName>
    <definedName name="_xlnm.Print_Area" localSheetId="1">'BPH-Thermisch'!$A$1:$J$93</definedName>
    <definedName name="_xlnm.Print_Area" localSheetId="4">'Brandschutz'!$A$1:$J$33</definedName>
    <definedName name="_xlnm.Print_Area" localSheetId="5">'Brandschutz nach AHO'!$A$1:$N$102</definedName>
    <definedName name="_xlnm.Print_Area" localSheetId="0">'Summenblatt'!$A$1:$K$70</definedName>
    <definedName name="_xlnm.Print_Titles" localSheetId="3">'BPH-Raumakustik'!$A:$D,'BPH-Raumakustik'!$3:$3</definedName>
    <definedName name="_xlnm.Print_Titles" localSheetId="2">'BPH-Schallschutz'!$A:$D,'BPH-Schallschutz'!$3:$3</definedName>
    <definedName name="_xlnm.Print_Titles" localSheetId="1">'BPH-Thermisch'!$A:$D,'BPH-Thermisch'!$3:$3</definedName>
    <definedName name="_xlnm.Print_Titles" localSheetId="5">'Brandschutz nach AHO'!$A:$D,'Brandschutz nach AHO'!$8:$8</definedName>
    <definedName name="_xlnm.Print_Titles" localSheetId="0">'Summenblatt'!$A:$C,'Summenblatt'!$46:$46</definedName>
  </definedNames>
  <calcPr fullCalcOnLoad="1" fullPrecision="0"/>
</workbook>
</file>

<file path=xl/sharedStrings.xml><?xml version="1.0" encoding="utf-8"?>
<sst xmlns="http://schemas.openxmlformats.org/spreadsheetml/2006/main" count="452" uniqueCount="223">
  <si>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</si>
  <si>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</si>
  <si>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</si>
  <si>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</si>
  <si>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</si>
  <si>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</si>
  <si>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</si>
  <si>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</si>
  <si>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</si>
  <si>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</si>
  <si>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</si>
  <si>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</si>
  <si>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</si>
  <si>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</si>
  <si>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</si>
  <si>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</si>
  <si>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</si>
  <si>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</si>
  <si>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</si>
  <si>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</si>
  <si>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</si>
  <si>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</si>
  <si>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</si>
  <si>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</si>
  <si>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</si>
  <si>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</si>
  <si>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</si>
  <si>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</si>
  <si>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</si>
  <si>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</si>
  <si>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</si>
  <si>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</si>
  <si>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</si>
  <si>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</si>
  <si>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LPH 2 Vorentwurfsplanung</t>
  </si>
  <si>
    <t>LPH 3 Entwurfsplanung</t>
  </si>
  <si>
    <t>LPH 4 Einreichplanung</t>
  </si>
  <si>
    <t>LPH 6 Ausschreibung</t>
  </si>
  <si>
    <r>
      <t>Prozentsatz der beauftragten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</si>
  <si>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</si>
  <si>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</si>
  <si>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</si>
  <si>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</si>
  <si>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</si>
  <si>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</si>
  <si>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</si>
  <si>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</si>
  <si>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LPH 7 Begleitung der Bauausführung</t>
  </si>
  <si>
    <t>LPH 9 Objektbetreuung</t>
  </si>
  <si>
    <t>6 bis 42</t>
  </si>
  <si>
    <t xml:space="preserve">          Mitwirkung an der Vergabe</t>
  </si>
  <si>
    <t>Thermische Bauphysik nach VM.BP.2014</t>
  </si>
  <si>
    <r>
      <t>Faktor aus Bewertungspunkten [f</t>
    </r>
    <r>
      <rPr>
        <vertAlign val="subscript"/>
        <sz val="10"/>
        <rFont val="Arial"/>
        <family val="2"/>
      </rPr>
      <t>bwT</t>
    </r>
    <r>
      <rPr>
        <sz val="10"/>
        <rFont val="Arial"/>
        <family val="2"/>
      </rPr>
      <t xml:space="preserve"> = 0,021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+ 0,761]</t>
    </r>
  </si>
  <si>
    <t xml:space="preserve">LPH 5 Ausführungsplanung </t>
  </si>
  <si>
    <t>LPH 8 Örtliche Bauaufsicht</t>
  </si>
  <si>
    <r>
      <t>%-Satz für BPT [h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= 110,07 x (BMGL)</t>
    </r>
    <r>
      <rPr>
        <vertAlign val="superscript"/>
        <sz val="10"/>
        <rFont val="Arial"/>
        <family val="2"/>
      </rPr>
      <t>(-0,41731)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</si>
  <si>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 xml:space="preserve">Summe Thermische Bauphysik brutto </t>
  </si>
  <si>
    <r>
      <t>Faktor aus Bewertungspunkten [f</t>
    </r>
    <r>
      <rPr>
        <vertAlign val="subscript"/>
        <sz val="10"/>
        <rFont val="Arial"/>
        <family val="2"/>
      </rPr>
      <t>bwS</t>
    </r>
    <r>
      <rPr>
        <sz val="10"/>
        <rFont val="Arial"/>
        <family val="2"/>
      </rPr>
      <t xml:space="preserve"> = 0,013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+ 0,923]</t>
    </r>
  </si>
  <si>
    <r>
      <t>%-Satz für BPS [h</t>
    </r>
    <r>
      <rPr>
        <vertAlign val="subscript"/>
        <sz val="10"/>
        <rFont val="Arial"/>
        <family val="2"/>
      </rPr>
      <t>BPS</t>
    </r>
    <r>
      <rPr>
        <sz val="10"/>
        <rFont val="Arial"/>
        <family val="2"/>
      </rPr>
      <t xml:space="preserve"> = 506,2538 x (BMGL)</t>
    </r>
    <r>
      <rPr>
        <vertAlign val="superscript"/>
        <sz val="10"/>
        <rFont val="Arial"/>
        <family val="2"/>
      </rPr>
      <t>(-0,5074)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</si>
  <si>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Bauphysik Schallschutz nach VM.BP.2014</t>
  </si>
  <si>
    <t xml:space="preserve">Summe Bauphysik Schallschutz brutto </t>
  </si>
  <si>
    <t>Bauphysik Raumakustik nach VM.BP.2014</t>
  </si>
  <si>
    <r>
      <t>Faktor aus Bewertungspunkten [f</t>
    </r>
    <r>
      <rPr>
        <vertAlign val="subscript"/>
        <sz val="10"/>
        <rFont val="Arial"/>
        <family val="2"/>
      </rPr>
      <t>bwA</t>
    </r>
    <r>
      <rPr>
        <sz val="10"/>
        <rFont val="Arial"/>
        <family val="2"/>
      </rPr>
      <t xml:space="preserve"> = 0,057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+ 0,367]</t>
    </r>
  </si>
  <si>
    <r>
      <t>%-Satz für BPA [h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= 439,8031 x (BMGL)</t>
    </r>
    <r>
      <rPr>
        <vertAlign val="superscript"/>
        <sz val="10"/>
        <rFont val="Arial"/>
        <family val="2"/>
      </rPr>
      <t>(-0,4760)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</si>
  <si>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Bemessungsgrundlage gesamt:</t>
  </si>
  <si>
    <t xml:space="preserve">Summe Bauphysik Raumakustik brutto </t>
  </si>
  <si>
    <t>ERK %</t>
  </si>
  <si>
    <t>Anforderungsmerkmale/Bewertungspunkte</t>
  </si>
  <si>
    <t>Summe Thermische Bauphysik netto inkl. NK</t>
  </si>
  <si>
    <t>Summe Bauphysik Schallschutz netto inkl. NK</t>
  </si>
  <si>
    <t>Summe Bauphysik Raumakustik netto inkl. NK</t>
  </si>
  <si>
    <r>
      <rPr>
        <b/>
        <sz val="8"/>
        <color indexed="8"/>
        <rFont val="Arial"/>
        <family val="2"/>
      </rPr>
      <t xml:space="preserve">Thermische Bauphysik </t>
    </r>
    <r>
      <rPr>
        <sz val="8"/>
        <color indexed="8"/>
        <rFont val="Arial"/>
        <family val="2"/>
      </rPr>
      <t xml:space="preserve">                            nach VM.BP.2014</t>
    </r>
  </si>
  <si>
    <r>
      <rPr>
        <b/>
        <sz val="8"/>
        <color indexed="8"/>
        <rFont val="Arial"/>
        <family val="2"/>
      </rPr>
      <t>Bauphysik Schallschutz</t>
    </r>
    <r>
      <rPr>
        <sz val="8"/>
        <color indexed="8"/>
        <rFont val="Arial"/>
        <family val="2"/>
      </rPr>
      <t xml:space="preserve">                            nach VM.BP.2014</t>
    </r>
  </si>
  <si>
    <r>
      <rPr>
        <b/>
        <sz val="8"/>
        <color indexed="8"/>
        <rFont val="Arial"/>
        <family val="2"/>
      </rPr>
      <t>Bauphysik Raumakustik</t>
    </r>
    <r>
      <rPr>
        <sz val="8"/>
        <color indexed="8"/>
        <rFont val="Arial"/>
        <family val="2"/>
      </rPr>
      <t xml:space="preserve">                            nachVM.BP.2014</t>
    </r>
  </si>
  <si>
    <t>Kosten nach ÖNORM B1801-1</t>
  </si>
  <si>
    <r>
      <t xml:space="preserve">NEBENKOSTEN </t>
    </r>
    <r>
      <rPr>
        <sz val="9"/>
        <rFont val="Arial"/>
        <family val="2"/>
      </rPr>
      <t>(Bewilligungen, Anschlussgebühren, …)</t>
    </r>
  </si>
  <si>
    <t>LPH 1 Grundlagenanalyse</t>
  </si>
  <si>
    <t>BAUWERKSKOSTEN</t>
  </si>
  <si>
    <t>Summe Bauphysik ohne Nebenkosten</t>
  </si>
  <si>
    <t>Summe Bauphysik netto inkl. NK</t>
  </si>
  <si>
    <t xml:space="preserve">Summe Baupyhsik brutto </t>
  </si>
  <si>
    <t>Ermittlung Bemessungsgrundlage (BMGL)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</si>
  <si>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</si>
  <si>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(PL + ÖBA)</t>
  </si>
  <si>
    <t>Prozentanteil an Errichtungskosten (netto, inkl. NK)</t>
  </si>
  <si>
    <t xml:space="preserve">Bruttorauminhalt (BRI) gesamt: </t>
  </si>
  <si>
    <t>Bruttorauminhalt (BRI) betrachteter Raum:</t>
  </si>
  <si>
    <r>
      <t>PLANUNGSLEISTUNGEN</t>
    </r>
    <r>
      <rPr>
        <sz val="10"/>
        <color indexed="8"/>
        <rFont val="Arial"/>
        <family val="2"/>
      </rPr>
      <t xml:space="preserve"> (GP)</t>
    </r>
  </si>
  <si>
    <t>Stundenpool (optionale Leistungen)</t>
  </si>
  <si>
    <t>Z</t>
  </si>
  <si>
    <t>MITZUVERARBEITENDE BAUSUBSTANZ</t>
  </si>
  <si>
    <t>BRI</t>
  </si>
  <si>
    <t>geschätzter Wert</t>
  </si>
  <si>
    <t>mvB = BRI x 50-60 €/m³</t>
  </si>
  <si>
    <t>Einbaumöbel</t>
  </si>
  <si>
    <t>Serienmöbel</t>
  </si>
  <si>
    <r>
      <t xml:space="preserve">PLANUNGSLEISTUNGEN </t>
    </r>
    <r>
      <rPr>
        <sz val="9"/>
        <color indexed="8"/>
        <rFont val="Arial"/>
        <family val="2"/>
      </rPr>
      <t>(ohne PL, PS, BK)</t>
    </r>
  </si>
  <si>
    <t>Zusammenstellung der Planungsleistungen</t>
  </si>
  <si>
    <t>%-Anteil BWK</t>
  </si>
  <si>
    <t>%-Anteil ERK</t>
  </si>
  <si>
    <t xml:space="preserve">Brandschutz </t>
  </si>
  <si>
    <t>mitzuverarbeitende Bausubstanz</t>
  </si>
  <si>
    <t>Umbauzuschlag nach BP.11</t>
  </si>
  <si>
    <r>
      <t>Vergütung VBPT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</si>
  <si>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Summe Teil Thermische Bauphysik ohne Nebenkosten</t>
  </si>
  <si>
    <r>
      <t>Vergütung VBPS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</si>
  <si>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Summe Teil Bauphysik Schallschutz ohne Nebenkosten</t>
  </si>
  <si>
    <r>
      <t>Vergütung VBPA = BMGL x 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 xml:space="preserve"> / BRI x betrachteter Raum
                                + Umbauzuschlag</t>
    </r>
  </si>
  <si>
    <r>
      <rPr>
        <b/>
        <sz val="9"/>
        <color indexed="23"/>
        <rFont val="Arial"/>
        <family val="2"/>
      </rPr>
      <t>&lt;</t>
    </r>
    <r>
      <rPr>
        <sz val="9"/>
        <color indexed="23"/>
        <rFont val="Arial"/>
        <family val="2"/>
      </rPr>
      <t xml:space="preserve"> dieser Betrag sollte unter dem Stundenpool abgewickelt werden</t>
    </r>
  </si>
  <si>
    <t>Summe Teil Bauphysik Raumakustik ohne Nebenkosten</t>
  </si>
  <si>
    <t>Brandschutz</t>
  </si>
  <si>
    <t>Vergütungsermittlung / Honorar</t>
  </si>
  <si>
    <t>nach Abschätzen des Aufwandes - Pauschale</t>
  </si>
  <si>
    <t>technischer Brandschutz</t>
  </si>
  <si>
    <t>Fluchtwege, Stellplätze</t>
  </si>
  <si>
    <t>Entrauchung</t>
  </si>
  <si>
    <t>Evaluierung Entwurf</t>
  </si>
  <si>
    <t>Evaluierung AFP</t>
  </si>
  <si>
    <t>brandschutztechnische Prüfung der M+W Planung</t>
  </si>
  <si>
    <t>MW Technikgeschoss Aufschalten</t>
  </si>
  <si>
    <t>Bewertung Technikgeschoss</t>
  </si>
  <si>
    <t>Baustellenbrandschutzordnung</t>
  </si>
  <si>
    <t>Baustellenkontrolle, Teilabnahmen</t>
  </si>
  <si>
    <t>MW Mängelprüfungen</t>
  </si>
  <si>
    <t>Begehungen vor Ort, Beratung ÖBA</t>
  </si>
  <si>
    <t>MW Fertigstellungsanzeige</t>
  </si>
  <si>
    <t>Summe Brandschutz ohne Nebenkosten</t>
  </si>
  <si>
    <t>Summe Brandschutz inkl. NK</t>
  </si>
  <si>
    <t xml:space="preserve">Summe Brandschutz brutto </t>
  </si>
  <si>
    <r>
      <rPr>
        <b/>
        <sz val="11"/>
        <color indexed="8"/>
        <rFont val="Arial"/>
        <family val="2"/>
      </rPr>
      <t>Brandschutz</t>
    </r>
    <r>
      <rPr>
        <sz val="11"/>
        <color indexed="8"/>
        <rFont val="Arial"/>
        <family val="2"/>
      </rPr>
      <t xml:space="preserve">                             
nach AHO JUN-2015</t>
    </r>
  </si>
  <si>
    <t>erweiterte Projektkennwerte</t>
  </si>
  <si>
    <r>
      <rPr>
        <sz val="7"/>
        <color indexed="56"/>
        <rFont val="Wingdings 3"/>
        <family val="1"/>
      </rPr>
      <t>|</t>
    </r>
    <r>
      <rPr>
        <sz val="7"/>
        <color indexed="56"/>
        <rFont val="Arial"/>
        <family val="2"/>
      </rPr>
      <t xml:space="preserve"> bezogen auf Projekt</t>
    </r>
  </si>
  <si>
    <t>Teilfläche 1</t>
  </si>
  <si>
    <t>Teilfläche 2</t>
  </si>
  <si>
    <t>Teilfläche 3</t>
  </si>
  <si>
    <t>Teilfläche 4</t>
  </si>
  <si>
    <t>Titel</t>
  </si>
  <si>
    <t>Schule UG</t>
  </si>
  <si>
    <t>Technik</t>
  </si>
  <si>
    <t>Schule</t>
  </si>
  <si>
    <t>Wohnen</t>
  </si>
  <si>
    <t>Verwaltung</t>
  </si>
  <si>
    <r>
      <t>A</t>
    </r>
    <r>
      <rPr>
        <vertAlign val="subscript"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= BGF m²</t>
    </r>
  </si>
  <si>
    <r>
      <t>Projekt-Schwierigkeitsbeiwert S</t>
    </r>
    <r>
      <rPr>
        <b/>
        <vertAlign val="subscript"/>
        <sz val="10"/>
        <color indexed="8"/>
        <rFont val="Arial"/>
        <family val="2"/>
      </rPr>
      <t>P</t>
    </r>
  </si>
  <si>
    <t>Beiwert</t>
  </si>
  <si>
    <t>Anzahl</t>
  </si>
  <si>
    <t>Summe</t>
  </si>
  <si>
    <t>mehr als eine Nutzung, je zusätzliche Nutzung</t>
  </si>
  <si>
    <t>x</t>
  </si>
  <si>
    <t>Variantenauswertung, je zusätzliche Variante</t>
  </si>
  <si>
    <t>besondere Einsatzbediengungen der Feuerwehr</t>
  </si>
  <si>
    <t>besondere Dokumentationsstandards</t>
  </si>
  <si>
    <t>Einsatz von Datenplattformen</t>
  </si>
  <si>
    <t>besondere Genehmigungsverfahren</t>
  </si>
  <si>
    <t>mehrstufige Verfahren (z.B. Teilausbau)</t>
  </si>
  <si>
    <r>
      <t>Summe Projekt-Schwierigkeitsbewert S</t>
    </r>
    <r>
      <rPr>
        <vertAlign val="subscript"/>
        <sz val="10"/>
        <color indexed="8"/>
        <rFont val="Arial"/>
        <family val="2"/>
      </rPr>
      <t>P</t>
    </r>
  </si>
  <si>
    <r>
      <t>S</t>
    </r>
    <r>
      <rPr>
        <vertAlign val="subscript"/>
        <sz val="7"/>
        <color indexed="8"/>
        <rFont val="Arial"/>
        <family val="2"/>
      </rPr>
      <t>P</t>
    </r>
  </si>
  <si>
    <t>Nutzungswertsbeiwert n</t>
  </si>
  <si>
    <r>
      <rPr>
        <sz val="7"/>
        <color indexed="56"/>
        <rFont val="Wingdings 3"/>
        <family val="1"/>
      </rPr>
      <t>|</t>
    </r>
    <r>
      <rPr>
        <sz val="7"/>
        <color indexed="56"/>
        <rFont val="Arial"/>
        <family val="2"/>
      </rPr>
      <t xml:space="preserve"> bezogen auf Teilfläche</t>
    </r>
  </si>
  <si>
    <t>Garagen, erdgeschossiger Industriebau</t>
  </si>
  <si>
    <t>Industriebau mit Ebenen</t>
  </si>
  <si>
    <t>Technikflächen als Nutzungseinheit</t>
  </si>
  <si>
    <t>Wohnen, Büro, Verwaltung</t>
  </si>
  <si>
    <t>Messe und Ausstellung, Sportstätten</t>
  </si>
  <si>
    <t>Verkauf</t>
  </si>
  <si>
    <t>Gaststätten, Beherbergungsbetriebe</t>
  </si>
  <si>
    <t>Kindergarten, Schule, Hochschule, pysikalsiche Labore</t>
  </si>
  <si>
    <t>Justizvollzuganstalt</t>
  </si>
  <si>
    <t>Krankenhaus, Pflegeheim</t>
  </si>
  <si>
    <t>Abfertigungsgebäude von Verkehrsanlagen, Kraftwerke</t>
  </si>
  <si>
    <t>Versammlungsstätten, Diskotheken</t>
  </si>
  <si>
    <t>chemisch-biologische Labore, Funktionsbereiche im KH</t>
  </si>
  <si>
    <t>Summe Nutzungsbeiwert n</t>
  </si>
  <si>
    <r>
      <t>n</t>
    </r>
    <r>
      <rPr>
        <vertAlign val="subscript"/>
        <sz val="9"/>
        <color indexed="8"/>
        <rFont val="Arial"/>
        <family val="2"/>
      </rPr>
      <t>1</t>
    </r>
  </si>
  <si>
    <r>
      <t>n</t>
    </r>
    <r>
      <rPr>
        <vertAlign val="subscript"/>
        <sz val="9"/>
        <color indexed="8"/>
        <rFont val="Arial"/>
        <family val="2"/>
      </rPr>
      <t>2</t>
    </r>
  </si>
  <si>
    <r>
      <t>n</t>
    </r>
    <r>
      <rPr>
        <vertAlign val="subscript"/>
        <sz val="9"/>
        <color indexed="8"/>
        <rFont val="Arial"/>
        <family val="2"/>
      </rPr>
      <t>3</t>
    </r>
  </si>
  <si>
    <r>
      <t>n</t>
    </r>
    <r>
      <rPr>
        <vertAlign val="subscript"/>
        <sz val="9"/>
        <color indexed="8"/>
        <rFont val="Arial"/>
        <family val="2"/>
      </rPr>
      <t>4</t>
    </r>
  </si>
  <si>
    <r>
      <t>Teilflächen-Schwierigkeitsgrad S</t>
    </r>
    <r>
      <rPr>
        <b/>
        <vertAlign val="subscript"/>
        <sz val="10"/>
        <color indexed="8"/>
        <rFont val="Arial"/>
        <family val="2"/>
      </rPr>
      <t>T</t>
    </r>
  </si>
  <si>
    <t>Verkehrswege, d verschied Nutzungseinheiten erschließen</t>
  </si>
  <si>
    <t>unterirdisches Geschoss</t>
  </si>
  <si>
    <t>offene Geschossverbindung</t>
  </si>
  <si>
    <t>Bestandsbau</t>
  </si>
  <si>
    <t>Denkmalschutz</t>
  </si>
  <si>
    <t>ungeregelter Sonderbau</t>
  </si>
  <si>
    <t>überproportionaler Installationsgrad</t>
  </si>
  <si>
    <t>experimentelle Bauweise</t>
  </si>
  <si>
    <r>
      <t>Summe Teilflächen-Schwierigkeitsgrad S</t>
    </r>
    <r>
      <rPr>
        <vertAlign val="subscript"/>
        <sz val="10"/>
        <color indexed="8"/>
        <rFont val="Arial"/>
        <family val="2"/>
      </rPr>
      <t>T</t>
    </r>
  </si>
  <si>
    <r>
      <t>S</t>
    </r>
    <r>
      <rPr>
        <vertAlign val="subscript"/>
        <sz val="7"/>
        <color indexed="8"/>
        <rFont val="Arial"/>
        <family val="2"/>
      </rPr>
      <t>T1</t>
    </r>
  </si>
  <si>
    <r>
      <t>S</t>
    </r>
    <r>
      <rPr>
        <vertAlign val="subscript"/>
        <sz val="7"/>
        <color indexed="8"/>
        <rFont val="Arial"/>
        <family val="2"/>
      </rPr>
      <t>T2</t>
    </r>
  </si>
  <si>
    <r>
      <t>S</t>
    </r>
    <r>
      <rPr>
        <vertAlign val="subscript"/>
        <sz val="7"/>
        <color indexed="8"/>
        <rFont val="Arial"/>
        <family val="2"/>
      </rPr>
      <t>T3</t>
    </r>
  </si>
  <si>
    <r>
      <t>S</t>
    </r>
    <r>
      <rPr>
        <vertAlign val="subscript"/>
        <sz val="7"/>
        <color indexed="8"/>
        <rFont val="Arial"/>
        <family val="2"/>
      </rPr>
      <t>T4</t>
    </r>
  </si>
  <si>
    <t>Vergütungsermittlung / Honorarsatz</t>
  </si>
  <si>
    <r>
      <t>Schwierigkeitesbeiwert S</t>
    </r>
    <r>
      <rPr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= (1,0 x </t>
    </r>
    <r>
      <rPr>
        <sz val="10"/>
        <color indexed="8"/>
        <rFont val="Calibri"/>
        <family val="2"/>
      </rPr>
      <t>∑</t>
    </r>
    <r>
      <rPr>
        <sz val="8.5"/>
        <color indexed="8"/>
        <rFont val="Arial"/>
        <family val="2"/>
      </rPr>
      <t xml:space="preserve"> S</t>
    </r>
    <r>
      <rPr>
        <vertAlign val="subscript"/>
        <sz val="8.5"/>
        <color indexed="8"/>
        <rFont val="Arial"/>
        <family val="2"/>
      </rPr>
      <t>P</t>
    </r>
    <r>
      <rPr>
        <sz val="8.5"/>
        <color indexed="8"/>
        <rFont val="Arial"/>
        <family val="2"/>
      </rPr>
      <t xml:space="preserve">) + (1,0 + </t>
    </r>
    <r>
      <rPr>
        <sz val="8.5"/>
        <color indexed="8"/>
        <rFont val="Calibri"/>
        <family val="2"/>
      </rPr>
      <t>∑</t>
    </r>
    <r>
      <rPr>
        <sz val="7.2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vertAlign val="subscript"/>
        <sz val="10"/>
        <color indexed="8"/>
        <rFont val="Arial"/>
        <family val="2"/>
      </rPr>
      <t>T</t>
    </r>
    <r>
      <rPr>
        <sz val="7.25"/>
        <color indexed="8"/>
        <rFont val="Arial"/>
        <family val="2"/>
      </rPr>
      <t xml:space="preserve">) = </t>
    </r>
  </si>
  <si>
    <r>
      <t>S</t>
    </r>
    <r>
      <rPr>
        <vertAlign val="subscript"/>
        <sz val="7"/>
        <color indexed="8"/>
        <rFont val="Arial"/>
        <family val="2"/>
      </rPr>
      <t>1</t>
    </r>
  </si>
  <si>
    <r>
      <t>S</t>
    </r>
    <r>
      <rPr>
        <vertAlign val="subscript"/>
        <sz val="7"/>
        <color indexed="8"/>
        <rFont val="Arial"/>
        <family val="2"/>
      </rPr>
      <t>2</t>
    </r>
  </si>
  <si>
    <r>
      <t>S</t>
    </r>
    <r>
      <rPr>
        <vertAlign val="subscript"/>
        <sz val="7"/>
        <color indexed="8"/>
        <rFont val="Arial"/>
        <family val="2"/>
      </rPr>
      <t>3</t>
    </r>
  </si>
  <si>
    <r>
      <t>S</t>
    </r>
    <r>
      <rPr>
        <vertAlign val="subscript"/>
        <sz val="7"/>
        <color indexed="8"/>
        <rFont val="Arial"/>
        <family val="2"/>
      </rPr>
      <t>4</t>
    </r>
  </si>
  <si>
    <r>
      <t>Flächenäquivalent A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=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S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</si>
  <si>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7"/>
        <color indexed="8"/>
        <rFont val="Arial"/>
        <family val="2"/>
      </rPr>
      <t>q1</t>
    </r>
  </si>
  <si>
    <r>
      <t>A</t>
    </r>
    <r>
      <rPr>
        <vertAlign val="subscript"/>
        <sz val="7"/>
        <color indexed="8"/>
        <rFont val="Arial"/>
        <family val="2"/>
      </rPr>
      <t>q2</t>
    </r>
  </si>
  <si>
    <r>
      <t>A</t>
    </r>
    <r>
      <rPr>
        <vertAlign val="subscript"/>
        <sz val="7"/>
        <color indexed="8"/>
        <rFont val="Arial"/>
        <family val="2"/>
      </rPr>
      <t>q3</t>
    </r>
  </si>
  <si>
    <r>
      <t>A</t>
    </r>
    <r>
      <rPr>
        <vertAlign val="subscript"/>
        <sz val="7"/>
        <color indexed="8"/>
        <rFont val="Arial"/>
        <family val="2"/>
      </rPr>
      <t>q4</t>
    </r>
  </si>
  <si>
    <r>
      <t>A</t>
    </r>
    <r>
      <rPr>
        <vertAlign val="subscript"/>
        <sz val="10"/>
        <color indexed="8"/>
        <rFont val="Arial"/>
        <family val="2"/>
      </rPr>
      <t xml:space="preserve">q gesamt </t>
    </r>
    <r>
      <rPr>
        <sz val="10"/>
        <color indexed="8"/>
        <rFont val="Arial"/>
        <family val="2"/>
      </rPr>
      <t>= A</t>
    </r>
    <r>
      <rPr>
        <vertAlign val="subscript"/>
        <sz val="10"/>
        <color indexed="8"/>
        <rFont val="Arial"/>
        <family val="2"/>
      </rPr>
      <t>q1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>q2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 xml:space="preserve">q3 </t>
    </r>
    <r>
      <rPr>
        <sz val="10"/>
        <color indexed="8"/>
        <rFont val="Arial"/>
        <family val="2"/>
      </rPr>
      <t>+ A</t>
    </r>
    <r>
      <rPr>
        <vertAlign val="subscript"/>
        <sz val="10"/>
        <color indexed="8"/>
        <rFont val="Arial"/>
        <family val="2"/>
      </rPr>
      <t>q4</t>
    </r>
  </si>
  <si>
    <r>
      <t>Gesamthonorar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^0,61</t>
    </r>
  </si>
  <si>
    <t>Leistungsphasen</t>
  </si>
  <si>
    <t>LPH 1 Grundlagenanalyse (-ermittlung)</t>
  </si>
  <si>
    <t>LPH 2 Vorentwurfsplanung (Vorplanung)</t>
  </si>
  <si>
    <t>LPH 4 Einreichplanung (Genehmigungsplanung)</t>
  </si>
  <si>
    <t>LPH 5 Ausführungsplanung</t>
  </si>
  <si>
    <t>LPH 6 Ausschreibung (Vorbreiten der Vergabe)</t>
  </si>
  <si>
    <t xml:space="preserve">           Mitwirkung an der Vergabe</t>
  </si>
  <si>
    <t>LPH 7 Begleitung der Bauausführung (-)</t>
  </si>
  <si>
    <t>LPH 8 Örtliche Bauaufsicht, Dokumentation (Objektüberwachung)</t>
  </si>
  <si>
    <t>optionale Leistungen</t>
  </si>
  <si>
    <r>
      <t>Prozentsatz d. beauftr.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</si>
  <si>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^0,61 </t>
    </r>
    <r>
      <rPr>
        <sz val="10"/>
        <rFont val="Arial"/>
        <family val="2"/>
      </rPr>
      <t>x f</t>
    </r>
    <r>
      <rPr>
        <vertAlign val="subscript"/>
        <sz val="10"/>
        <rFont val="Arial"/>
        <family val="2"/>
      </rPr>
      <t>LPH</t>
    </r>
  </si>
  <si>
    <t>Summe Brandschutz netto inkl. NK ohne NL</t>
  </si>
  <si>
    <t>Nachlass / Aufschlag</t>
  </si>
  <si>
    <t>Summe Brandschutz netto inkl. NK und NL</t>
  </si>
  <si>
    <t>Thermische Bauphysik nach VM.BP 2014</t>
  </si>
  <si>
    <t>Bauphysik Schallschutz nach VM.BP 2014</t>
  </si>
  <si>
    <t>Bauphysik Raumakustik nach VM.BP 2014</t>
  </si>
  <si>
    <t>LM.VM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</si>
</sst>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#,##0\ &quot;€ / m³&quot;"/>
    <numFmt numFmtId="202" formatCode="#,##0.00\ &quot;m²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sz val="9"/>
      <color indexed="23"/>
      <name val="Arial"/>
      <family val="2"/>
    </font>
    <font>
      <strike/>
      <sz val="10"/>
      <name val="Arial"/>
      <family val="2"/>
    </font>
    <font>
      <b/>
      <sz val="9"/>
      <color indexed="23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trike/>
      <sz val="10"/>
      <color indexed="8"/>
      <name val="Arial"/>
      <family val="2"/>
    </font>
    <font>
      <sz val="11"/>
      <color indexed="8"/>
      <name val="Arial"/>
      <family val="2"/>
    </font>
    <font>
      <sz val="7"/>
      <color indexed="56"/>
      <name val="Wingdings 3"/>
      <family val="1"/>
    </font>
    <font>
      <sz val="7"/>
      <color indexed="56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7"/>
      <color indexed="8"/>
      <name val="Arial"/>
      <family val="2"/>
    </font>
    <font>
      <vertAlign val="subscript"/>
      <sz val="9"/>
      <color indexed="8"/>
      <name val="Arial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vertAlign val="subscript"/>
      <sz val="8.5"/>
      <color indexed="8"/>
      <name val="Arial"/>
      <family val="2"/>
    </font>
    <font>
      <sz val="8.5"/>
      <color indexed="8"/>
      <name val="Calibri"/>
      <family val="2"/>
    </font>
    <font>
      <sz val="7.25"/>
      <color indexed="8"/>
      <name val="Arial"/>
      <family val="2"/>
    </font>
    <font>
      <i/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55"/>
      <name val="Arial"/>
      <family val="2"/>
    </font>
    <font>
      <b/>
      <sz val="13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10"/>
      <color indexed="55"/>
      <name val="Arial"/>
      <family val="2"/>
    </font>
    <font>
      <i/>
      <sz val="11"/>
      <color indexed="8"/>
      <name val="Calibri"/>
      <family val="2"/>
    </font>
    <font>
      <sz val="7"/>
      <color indexed="9"/>
      <name val="Arial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 tint="-0.4999699890613556"/>
      <name val="Arial"/>
      <family val="2"/>
    </font>
    <font>
      <sz val="7"/>
      <color theme="3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3499799966812134"/>
      <name val="Arial"/>
      <family val="2"/>
    </font>
    <font>
      <i/>
      <sz val="11"/>
      <color theme="1"/>
      <name val="Calibri"/>
      <family val="2"/>
    </font>
    <font>
      <sz val="7"/>
      <color theme="0"/>
      <name val="Arial"/>
      <family val="2"/>
    </font>
    <font>
      <sz val="9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>
        <color indexed="63"/>
      </top>
      <bottom style="hair"/>
    </border>
    <border>
      <left style="thin">
        <color theme="0"/>
      </left>
      <right>
        <color indexed="63"/>
      </right>
      <top style="hair">
        <color theme="0"/>
      </top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7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3" fontId="5" fillId="28" borderId="4">
      <alignment/>
      <protection/>
    </xf>
    <xf numFmtId="0" fontId="78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3" borderId="10" applyNumberFormat="0" applyAlignment="0" applyProtection="0"/>
  </cellStyleXfs>
  <cellXfs count="513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15" fillId="0" borderId="0" xfId="69" applyFont="1" applyFill="1" applyBorder="1" applyProtection="1">
      <alignment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0" fontId="0" fillId="0" borderId="0" xfId="0" applyFill="1" applyBorder="1" applyAlignment="1">
      <alignment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3" fontId="15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9" fontId="3" fillId="0" borderId="0" xfId="66" applyNumberFormat="1" applyFont="1" applyBorder="1" applyAlignment="1" applyProtection="1">
      <alignment horizontal="center"/>
      <protection/>
    </xf>
    <xf numFmtId="176" fontId="7" fillId="0" borderId="13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1" fillId="0" borderId="0" xfId="66" applyFont="1" applyFill="1" applyBorder="1" applyProtection="1">
      <alignment/>
      <protection/>
    </xf>
    <xf numFmtId="174" fontId="11" fillId="0" borderId="0" xfId="66" applyNumberFormat="1" applyFont="1" applyFill="1" applyBorder="1" applyProtection="1">
      <alignment/>
      <protection/>
    </xf>
    <xf numFmtId="174" fontId="3" fillId="0" borderId="0" xfId="66" applyNumberFormat="1" applyFont="1" applyFill="1" applyBorder="1" applyProtection="1">
      <alignment/>
      <protection/>
    </xf>
    <xf numFmtId="174" fontId="3" fillId="0" borderId="0" xfId="66" applyNumberFormat="1" applyFont="1" applyFill="1" applyBorder="1" applyAlignment="1" applyProtection="1">
      <alignment horizontal="left"/>
      <protection/>
    </xf>
    <xf numFmtId="0" fontId="2" fillId="0" borderId="0" xfId="66" applyFont="1" applyFill="1" applyBorder="1" applyProtection="1">
      <alignment/>
      <protection/>
    </xf>
    <xf numFmtId="174" fontId="2" fillId="0" borderId="0" xfId="66" applyNumberFormat="1" applyFont="1" applyFill="1" applyBorder="1" applyProtection="1">
      <alignment/>
      <protection/>
    </xf>
    <xf numFmtId="10" fontId="3" fillId="0" borderId="0" xfId="66" applyNumberFormat="1" applyFont="1" applyFill="1" applyBorder="1" applyAlignment="1" applyProtection="1">
      <alignment horizontal="right"/>
      <protection/>
    </xf>
    <xf numFmtId="0" fontId="18" fillId="34" borderId="0" xfId="69" applyFont="1" applyFill="1" applyBorder="1" applyProtection="1">
      <alignment/>
      <protection/>
    </xf>
    <xf numFmtId="0" fontId="18" fillId="0" borderId="0" xfId="69" applyFont="1" applyFill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0" fontId="2" fillId="34" borderId="0" xfId="69" applyFont="1" applyFill="1" applyAlignment="1" applyProtection="1">
      <alignment horizontal="left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Protection="1">
      <alignment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" fontId="10" fillId="34" borderId="15" xfId="69" applyNumberFormat="1" applyFont="1" applyFill="1" applyBorder="1" applyAlignment="1" applyProtection="1">
      <alignment horizontal="left"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9" fontId="5" fillId="0" borderId="15" xfId="69" applyNumberFormat="1" applyFont="1" applyFill="1" applyBorder="1" applyAlignment="1" applyProtection="1">
      <alignment horizontal="right" vertical="center"/>
      <protection/>
    </xf>
    <xf numFmtId="1" fontId="5" fillId="0" borderId="16" xfId="69" applyNumberFormat="1" applyFont="1" applyFill="1" applyBorder="1" applyAlignment="1" applyProtection="1">
      <alignment horizontal="left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9" fontId="5" fillId="0" borderId="16" xfId="69" applyNumberFormat="1" applyFont="1" applyFill="1" applyBorder="1" applyAlignment="1" applyProtection="1">
      <alignment horizontal="right"/>
      <protection/>
    </xf>
    <xf numFmtId="1" fontId="5" fillId="0" borderId="17" xfId="69" applyNumberFormat="1" applyFont="1" applyFill="1" applyBorder="1" applyAlignment="1" applyProtection="1">
      <alignment horizontal="left"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9" fontId="5" fillId="0" borderId="17" xfId="69" applyNumberFormat="1" applyFont="1" applyFill="1" applyBorder="1" applyAlignment="1" applyProtection="1">
      <alignment horizontal="right"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68" fontId="2" fillId="34" borderId="0" xfId="69" applyNumberFormat="1" applyFont="1" applyFill="1" applyBorder="1" applyAlignment="1" applyProtection="1">
      <alignment horizontal="right"/>
      <protection/>
    </xf>
    <xf numFmtId="168" fontId="3" fillId="0" borderId="0" xfId="66" applyNumberFormat="1" applyFont="1" applyProtection="1">
      <alignment/>
      <protection/>
    </xf>
    <xf numFmtId="168" fontId="2" fillId="0" borderId="0" xfId="66" applyNumberFormat="1" applyFont="1" applyBorder="1" applyProtection="1">
      <alignment/>
      <protection/>
    </xf>
    <xf numFmtId="168" fontId="3" fillId="0" borderId="13" xfId="66" applyNumberFormat="1" applyFont="1" applyBorder="1" applyProtection="1">
      <alignment/>
      <protection/>
    </xf>
    <xf numFmtId="168" fontId="2" fillId="0" borderId="0" xfId="66" applyNumberFormat="1" applyFont="1" applyFill="1" applyProtection="1">
      <alignment/>
      <protection/>
    </xf>
    <xf numFmtId="168" fontId="2" fillId="0" borderId="0" xfId="66" applyNumberFormat="1" applyFont="1" applyProtection="1">
      <alignment/>
      <protection/>
    </xf>
    <xf numFmtId="168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19" fillId="34" borderId="0" xfId="66" applyNumberFormat="1" applyFont="1" applyFill="1" applyProtection="1">
      <alignment/>
      <protection/>
    </xf>
    <xf numFmtId="168" fontId="2" fillId="34" borderId="0" xfId="66" applyNumberFormat="1" applyFont="1" applyFill="1" applyProtection="1">
      <alignment/>
      <protection/>
    </xf>
    <xf numFmtId="0" fontId="5" fillId="0" borderId="0" xfId="69" applyFont="1" applyFill="1" applyAlignment="1" applyProtection="1">
      <alignment horizontal="left"/>
      <protection/>
    </xf>
    <xf numFmtId="184" fontId="5" fillId="0" borderId="18" xfId="69" applyNumberFormat="1" applyFont="1" applyBorder="1" applyAlignment="1" applyProtection="1">
      <alignment horizontal="right"/>
      <protection/>
    </xf>
    <xf numFmtId="186" fontId="3" fillId="0" borderId="0" xfId="66" applyNumberFormat="1" applyFont="1" applyFill="1" applyAlignment="1" applyProtection="1">
      <alignment vertical="center"/>
      <protection/>
    </xf>
    <xf numFmtId="0" fontId="10" fillId="0" borderId="0" xfId="69" applyFont="1" applyBorder="1" applyAlignment="1" applyProtection="1">
      <alignment horizontal="left"/>
      <protection/>
    </xf>
    <xf numFmtId="184" fontId="5" fillId="35" borderId="19" xfId="69" applyNumberFormat="1" applyFont="1" applyFill="1" applyBorder="1" applyAlignment="1" applyProtection="1">
      <alignment horizontal="right"/>
      <protection locked="0"/>
    </xf>
    <xf numFmtId="184" fontId="5" fillId="35" borderId="18" xfId="69" applyNumberFormat="1" applyFont="1" applyFill="1" applyBorder="1" applyAlignment="1" applyProtection="1">
      <alignment horizontal="right"/>
      <protection locked="0"/>
    </xf>
    <xf numFmtId="184" fontId="6" fillId="0" borderId="18" xfId="69" applyNumberFormat="1" applyFont="1" applyBorder="1" applyAlignment="1" applyProtection="1">
      <alignment horizontal="right"/>
      <protection/>
    </xf>
    <xf numFmtId="184" fontId="5" fillId="0" borderId="18" xfId="69" applyNumberFormat="1" applyFont="1" applyFill="1" applyBorder="1" applyAlignment="1" applyProtection="1">
      <alignment horizontal="right"/>
      <protection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188" fontId="3" fillId="35" borderId="0" xfId="66" applyNumberFormat="1" applyFont="1" applyFill="1" applyAlignment="1" applyProtection="1">
      <alignment vertical="center"/>
      <protection locked="0"/>
    </xf>
    <xf numFmtId="0" fontId="89" fillId="0" borderId="0" xfId="69" applyFont="1" applyFill="1" applyProtection="1">
      <alignment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168" fontId="9" fillId="0" borderId="0" xfId="69" applyNumberFormat="1" applyFont="1" applyFill="1" applyBorder="1" applyAlignment="1" applyProtection="1">
      <alignment/>
      <protection/>
    </xf>
    <xf numFmtId="168" fontId="9" fillId="0" borderId="0" xfId="69" applyNumberFormat="1" applyFont="1" applyFill="1" applyBorder="1" applyAlignment="1" applyProtection="1">
      <alignment horizontal="right"/>
      <protection/>
    </xf>
    <xf numFmtId="168" fontId="5" fillId="0" borderId="0" xfId="69" applyNumberFormat="1" applyFont="1" applyFill="1" applyAlignment="1" applyProtection="1">
      <alignment horizontal="right"/>
      <protection/>
    </xf>
    <xf numFmtId="1" fontId="9" fillId="0" borderId="15" xfId="69" applyNumberFormat="1" applyFont="1" applyFill="1" applyBorder="1" applyAlignment="1" applyProtection="1">
      <alignment horizontal="left" vertical="center"/>
      <protection/>
    </xf>
    <xf numFmtId="172" fontId="9" fillId="0" borderId="15" xfId="69" applyNumberFormat="1" applyFont="1" applyFill="1" applyBorder="1" applyAlignment="1" applyProtection="1">
      <alignment horizontal="left" vertical="center"/>
      <protection/>
    </xf>
    <xf numFmtId="0" fontId="9" fillId="0" borderId="15" xfId="69" applyFont="1" applyFill="1" applyBorder="1" applyAlignment="1" applyProtection="1">
      <alignment vertical="center"/>
      <protection/>
    </xf>
    <xf numFmtId="168" fontId="9" fillId="0" borderId="15" xfId="69" applyNumberFormat="1" applyFont="1" applyFill="1" applyBorder="1" applyAlignment="1" applyProtection="1">
      <alignment/>
      <protection/>
    </xf>
    <xf numFmtId="184" fontId="3" fillId="0" borderId="0" xfId="66" applyNumberFormat="1" applyFont="1" applyFill="1" applyAlignment="1" applyProtection="1">
      <alignment horizontal="right"/>
      <protection/>
    </xf>
    <xf numFmtId="196" fontId="13" fillId="0" borderId="0" xfId="69" applyNumberFormat="1" applyFont="1" applyFill="1" applyBorder="1" applyAlignment="1" applyProtection="1">
      <alignment vertical="center"/>
      <protection/>
    </xf>
    <xf numFmtId="184" fontId="3" fillId="0" borderId="13" xfId="66" applyNumberFormat="1" applyFont="1" applyBorder="1" applyAlignment="1" applyProtection="1">
      <alignment horizontal="center"/>
      <protection/>
    </xf>
    <xf numFmtId="184" fontId="3" fillId="0" borderId="14" xfId="66" applyNumberFormat="1" applyFont="1" applyBorder="1" applyAlignment="1" applyProtection="1">
      <alignment horizontal="center"/>
      <protection/>
    </xf>
    <xf numFmtId="0" fontId="3" fillId="34" borderId="0" xfId="66" applyFont="1" applyFill="1" applyAlignment="1" applyProtection="1">
      <alignment horizontal="right"/>
      <protection/>
    </xf>
    <xf numFmtId="196" fontId="9" fillId="0" borderId="0" xfId="69" applyNumberFormat="1" applyFont="1" applyFill="1" applyBorder="1" applyAlignment="1" applyProtection="1">
      <alignment horizontal="right" vertical="center"/>
      <protection/>
    </xf>
    <xf numFmtId="184" fontId="3" fillId="0" borderId="13" xfId="66" applyNumberFormat="1" applyFont="1" applyFill="1" applyBorder="1" applyAlignment="1" applyProtection="1">
      <alignment horizontal="center"/>
      <protection/>
    </xf>
    <xf numFmtId="184" fontId="3" fillId="0" borderId="0" xfId="66" applyNumberFormat="1" applyFont="1" applyFill="1" applyBorder="1" applyAlignment="1" applyProtection="1">
      <alignment horizontal="center"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84" fontId="2" fillId="34" borderId="0" xfId="69" applyNumberFormat="1" applyFont="1" applyFill="1" applyBorder="1" applyProtection="1">
      <alignment/>
      <protection/>
    </xf>
    <xf numFmtId="10" fontId="16" fillId="0" borderId="0" xfId="69" applyNumberFormat="1" applyFont="1" applyFill="1" applyBorder="1" applyAlignment="1" applyProtection="1">
      <alignment horizontal="right" vertical="center"/>
      <protection/>
    </xf>
    <xf numFmtId="3" fontId="16" fillId="0" borderId="0" xfId="69" applyNumberFormat="1" applyFont="1" applyFill="1" applyBorder="1" applyAlignment="1" applyProtection="1">
      <alignment horizontal="center" vertical="center"/>
      <protection/>
    </xf>
    <xf numFmtId="176" fontId="90" fillId="0" borderId="0" xfId="66" applyNumberFormat="1" applyFont="1" applyFill="1" applyBorder="1" applyProtection="1">
      <alignment/>
      <protection/>
    </xf>
    <xf numFmtId="184" fontId="91" fillId="0" borderId="0" xfId="66" applyNumberFormat="1" applyFont="1" applyBorder="1" applyAlignment="1" applyProtection="1">
      <alignment horizontal="center"/>
      <protection/>
    </xf>
    <xf numFmtId="176" fontId="92" fillId="0" borderId="0" xfId="66" applyNumberFormat="1" applyFont="1" applyFill="1" applyBorder="1" applyAlignment="1" applyProtection="1">
      <alignment horizontal="right"/>
      <protection/>
    </xf>
    <xf numFmtId="168" fontId="9" fillId="0" borderId="0" xfId="69" applyNumberFormat="1" applyFont="1" applyBorder="1" applyAlignment="1" applyProtection="1">
      <alignment horizontal="right"/>
      <protection/>
    </xf>
    <xf numFmtId="168" fontId="9" fillId="0" borderId="0" xfId="69" applyNumberFormat="1" applyFont="1" applyBorder="1" applyAlignment="1" applyProtection="1">
      <alignment/>
      <protection/>
    </xf>
    <xf numFmtId="168" fontId="9" fillId="28" borderId="18" xfId="69" applyNumberFormat="1" applyFont="1" applyFill="1" applyBorder="1" applyAlignment="1" applyProtection="1">
      <alignment/>
      <protection/>
    </xf>
    <xf numFmtId="168" fontId="9" fillId="28" borderId="20" xfId="69" applyNumberFormat="1" applyFont="1" applyFill="1" applyBorder="1" applyAlignment="1" applyProtection="1">
      <alignment/>
      <protection/>
    </xf>
    <xf numFmtId="168" fontId="9" fillId="28" borderId="21" xfId="69" applyNumberFormat="1" applyFont="1" applyFill="1" applyBorder="1" applyAlignment="1" applyProtection="1">
      <alignment/>
      <protection/>
    </xf>
    <xf numFmtId="168" fontId="9" fillId="34" borderId="15" xfId="69" applyNumberFormat="1" applyFont="1" applyFill="1" applyBorder="1" applyAlignment="1" applyProtection="1">
      <alignment/>
      <protection/>
    </xf>
    <xf numFmtId="168" fontId="9" fillId="34" borderId="0" xfId="69" applyNumberFormat="1" applyFont="1" applyFill="1" applyBorder="1" applyAlignment="1" applyProtection="1">
      <alignment/>
      <protection/>
    </xf>
    <xf numFmtId="168" fontId="9" fillId="34" borderId="19" xfId="69" applyNumberFormat="1" applyFont="1" applyFill="1" applyBorder="1" applyAlignment="1" applyProtection="1">
      <alignment/>
      <protection/>
    </xf>
    <xf numFmtId="168" fontId="9" fillId="35" borderId="19" xfId="69" applyNumberFormat="1" applyFont="1" applyFill="1" applyBorder="1" applyAlignment="1" applyProtection="1">
      <alignment vertical="center"/>
      <protection locked="0"/>
    </xf>
    <xf numFmtId="168" fontId="9" fillId="0" borderId="18" xfId="69" applyNumberFormat="1" applyFont="1" applyFill="1" applyBorder="1" applyProtection="1">
      <alignment/>
      <protection/>
    </xf>
    <xf numFmtId="168" fontId="9" fillId="35" borderId="18" xfId="69" applyNumberFormat="1" applyFont="1" applyFill="1" applyBorder="1" applyAlignment="1" applyProtection="1">
      <alignment vertical="center"/>
      <protection locked="0"/>
    </xf>
    <xf numFmtId="168" fontId="9" fillId="34" borderId="18" xfId="69" applyNumberFormat="1" applyFont="1" applyFill="1" applyBorder="1" applyAlignment="1" applyProtection="1">
      <alignment vertical="center"/>
      <protection/>
    </xf>
    <xf numFmtId="168" fontId="9" fillId="35" borderId="18" xfId="69" applyNumberFormat="1" applyFont="1" applyFill="1" applyBorder="1" applyAlignment="1" applyProtection="1">
      <alignment/>
      <protection locked="0"/>
    </xf>
    <xf numFmtId="196" fontId="16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" fontId="10" fillId="0" borderId="0" xfId="69" applyNumberFormat="1" applyFont="1" applyFill="1" applyBorder="1" applyAlignment="1" applyProtection="1">
      <alignment/>
      <protection/>
    </xf>
    <xf numFmtId="10" fontId="9" fillId="0" borderId="15" xfId="58" applyNumberFormat="1" applyFont="1" applyFill="1" applyBorder="1" applyAlignment="1" applyProtection="1">
      <alignment vertical="center"/>
      <protection/>
    </xf>
    <xf numFmtId="10" fontId="9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Alignment="1" applyProtection="1">
      <alignment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vertical="center"/>
      <protection/>
    </xf>
    <xf numFmtId="0" fontId="93" fillId="0" borderId="0" xfId="67" applyFont="1" applyAlignment="1" applyProtection="1">
      <alignment vertical="center"/>
      <protection/>
    </xf>
    <xf numFmtId="0" fontId="94" fillId="0" borderId="0" xfId="67" applyNumberFormat="1" applyFont="1" applyFill="1" applyAlignment="1" applyProtection="1">
      <alignment horizontal="right" vertical="center"/>
      <protection/>
    </xf>
    <xf numFmtId="0" fontId="3" fillId="0" borderId="11" xfId="67" applyBorder="1" applyAlignment="1" applyProtection="1">
      <alignment vertical="center"/>
      <protection/>
    </xf>
    <xf numFmtId="0" fontId="93" fillId="0" borderId="11" xfId="67" applyFont="1" applyBorder="1" applyAlignment="1" applyProtection="1">
      <alignment vertical="center"/>
      <protection/>
    </xf>
    <xf numFmtId="0" fontId="94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center"/>
      <protection/>
    </xf>
    <xf numFmtId="196" fontId="16" fillId="0" borderId="0" xfId="69" applyNumberFormat="1" applyFont="1" applyFill="1" applyBorder="1" applyAlignment="1" applyProtection="1">
      <alignment vertical="center"/>
      <protection/>
    </xf>
    <xf numFmtId="184" fontId="9" fillId="0" borderId="0" xfId="58" applyNumberFormat="1" applyFont="1" applyFill="1" applyBorder="1" applyAlignment="1" applyProtection="1">
      <alignment vertical="center"/>
      <protection/>
    </xf>
    <xf numFmtId="184" fontId="5" fillId="0" borderId="22" xfId="58" applyNumberFormat="1" applyFont="1" applyFill="1" applyBorder="1" applyAlignment="1" applyProtection="1">
      <alignment vertical="center"/>
      <protection/>
    </xf>
    <xf numFmtId="184" fontId="5" fillId="0" borderId="0" xfId="69" applyNumberFormat="1" applyFont="1" applyFill="1" applyProtection="1">
      <alignment/>
      <protection/>
    </xf>
    <xf numFmtId="168" fontId="9" fillId="34" borderId="18" xfId="69" applyNumberFormat="1" applyFont="1" applyFill="1" applyBorder="1" applyAlignment="1" applyProtection="1">
      <alignment/>
      <protection/>
    </xf>
    <xf numFmtId="168" fontId="9" fillId="34" borderId="23" xfId="69" applyNumberFormat="1" applyFont="1" applyFill="1" applyBorder="1" applyAlignment="1" applyProtection="1">
      <alignment/>
      <protection/>
    </xf>
    <xf numFmtId="168" fontId="9" fillId="0" borderId="19" xfId="69" applyNumberFormat="1" applyFont="1" applyFill="1" applyBorder="1" applyAlignment="1" applyProtection="1">
      <alignment/>
      <protection/>
    </xf>
    <xf numFmtId="0" fontId="95" fillId="36" borderId="0" xfId="69" applyFont="1" applyFill="1" applyBorder="1" applyProtection="1">
      <alignment/>
      <protection/>
    </xf>
    <xf numFmtId="3" fontId="96" fillId="36" borderId="0" xfId="69" applyNumberFormat="1" applyFont="1" applyFill="1" applyBorder="1" applyAlignment="1" applyProtection="1">
      <alignment horizontal="center"/>
      <protection/>
    </xf>
    <xf numFmtId="168" fontId="97" fillId="36" borderId="24" xfId="69" applyNumberFormat="1" applyFont="1" applyFill="1" applyBorder="1" applyAlignment="1" applyProtection="1">
      <alignment horizontal="right"/>
      <protection/>
    </xf>
    <xf numFmtId="168" fontId="11" fillId="36" borderId="0" xfId="67" applyNumberFormat="1" applyFont="1" applyFill="1" applyAlignment="1" applyProtection="1">
      <alignment horizontal="right" vertical="center"/>
      <protection/>
    </xf>
    <xf numFmtId="10" fontId="3" fillId="35" borderId="19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25" xfId="67" applyNumberFormat="1" applyFont="1" applyFill="1" applyBorder="1" applyAlignment="1" applyProtection="1">
      <alignment horizontal="right" vertical="center"/>
      <protection locked="0"/>
    </xf>
    <xf numFmtId="10" fontId="5" fillId="0" borderId="0" xfId="69" applyNumberFormat="1" applyFont="1" applyProtection="1">
      <alignment/>
      <protection/>
    </xf>
    <xf numFmtId="10" fontId="3" fillId="34" borderId="0" xfId="66" applyNumberFormat="1" applyFont="1" applyFill="1" applyProtection="1">
      <alignment/>
      <protection/>
    </xf>
    <xf numFmtId="10" fontId="3" fillId="0" borderId="0" xfId="66" applyNumberFormat="1" applyFont="1" applyAlignment="1" applyProtection="1">
      <alignment horizont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0" fontId="3" fillId="0" borderId="0" xfId="66" applyFont="1" applyBorder="1" applyAlignment="1" applyProtection="1">
      <alignment horizontal="right"/>
      <protection/>
    </xf>
    <xf numFmtId="0" fontId="97" fillId="36" borderId="0" xfId="66" applyFont="1" applyFill="1" applyBorder="1" applyProtection="1">
      <alignment/>
      <protection/>
    </xf>
    <xf numFmtId="0" fontId="97" fillId="36" borderId="0" xfId="66" applyFont="1" applyFill="1" applyBorder="1" applyAlignment="1" applyProtection="1">
      <alignment horizontal="right"/>
      <protection/>
    </xf>
    <xf numFmtId="174" fontId="97" fillId="36" borderId="0" xfId="66" applyNumberFormat="1" applyFont="1" applyFill="1" applyBorder="1" applyProtection="1">
      <alignment/>
      <protection/>
    </xf>
    <xf numFmtId="0" fontId="98" fillId="36" borderId="0" xfId="66" applyFont="1" applyFill="1" applyBorder="1" applyProtection="1">
      <alignment/>
      <protection/>
    </xf>
    <xf numFmtId="176" fontId="99" fillId="36" borderId="0" xfId="66" applyNumberFormat="1" applyFont="1" applyFill="1" applyBorder="1" applyProtection="1">
      <alignment/>
      <protection/>
    </xf>
    <xf numFmtId="9" fontId="98" fillId="36" borderId="0" xfId="66" applyNumberFormat="1" applyFont="1" applyFill="1" applyBorder="1" applyAlignment="1" applyProtection="1">
      <alignment horizontal="center"/>
      <protection/>
    </xf>
    <xf numFmtId="168" fontId="97" fillId="36" borderId="0" xfId="66" applyNumberFormat="1" applyFont="1" applyFill="1" applyBorder="1" applyProtection="1">
      <alignment/>
      <protection/>
    </xf>
    <xf numFmtId="0" fontId="21" fillId="0" borderId="0" xfId="69" applyFont="1" applyFill="1" applyBorder="1" applyProtection="1">
      <alignment/>
      <protection/>
    </xf>
    <xf numFmtId="168" fontId="97" fillId="36" borderId="0" xfId="67" applyNumberFormat="1" applyFont="1" applyFill="1" applyAlignment="1" applyProtection="1">
      <alignment horizontal="right" vertical="center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8" fillId="34" borderId="0" xfId="69" applyFont="1" applyFill="1" applyBorder="1" applyAlignment="1" applyProtection="1">
      <alignment vertical="center"/>
      <protection/>
    </xf>
    <xf numFmtId="0" fontId="97" fillId="36" borderId="0" xfId="69" applyFont="1" applyFill="1" applyAlignment="1" applyProtection="1">
      <alignment horizontal="left" vertical="center"/>
      <protection/>
    </xf>
    <xf numFmtId="0" fontId="95" fillId="36" borderId="0" xfId="69" applyFont="1" applyFill="1" applyBorder="1" applyAlignment="1" applyProtection="1">
      <alignment vertical="center"/>
      <protection/>
    </xf>
    <xf numFmtId="0" fontId="3" fillId="0" borderId="0" xfId="66" applyFont="1" applyAlignment="1" applyProtection="1">
      <alignment/>
      <protection/>
    </xf>
    <xf numFmtId="0" fontId="5" fillId="0" borderId="0" xfId="69" applyFont="1" applyFill="1" applyBorder="1" applyAlignment="1" applyProtection="1">
      <alignment/>
      <protection/>
    </xf>
    <xf numFmtId="10" fontId="100" fillId="0" borderId="0" xfId="69" applyNumberFormat="1" applyFont="1" applyFill="1" applyAlignment="1" applyProtection="1">
      <alignment/>
      <protection/>
    </xf>
    <xf numFmtId="4" fontId="3" fillId="34" borderId="0" xfId="66" applyNumberFormat="1" applyFont="1" applyFill="1" applyAlignment="1" applyProtection="1">
      <alignment/>
      <protection/>
    </xf>
    <xf numFmtId="0" fontId="89" fillId="0" borderId="0" xfId="69" applyFont="1" applyFill="1" applyAlignment="1" applyProtection="1">
      <alignment/>
      <protection/>
    </xf>
    <xf numFmtId="198" fontId="9" fillId="35" borderId="26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168" fontId="2" fillId="0" borderId="0" xfId="66" applyNumberFormat="1" applyFont="1" applyFill="1" applyAlignment="1" applyProtection="1">
      <alignment horizontal="right"/>
      <protection/>
    </xf>
    <xf numFmtId="3" fontId="5" fillId="0" borderId="0" xfId="69" applyNumberFormat="1" applyFont="1" applyFill="1" applyAlignment="1" applyProtection="1">
      <alignment/>
      <protection/>
    </xf>
    <xf numFmtId="177" fontId="3" fillId="0" borderId="27" xfId="67" applyNumberFormat="1" applyFont="1" applyFill="1" applyBorder="1" applyAlignment="1" applyProtection="1">
      <alignment vertical="center"/>
      <protection/>
    </xf>
    <xf numFmtId="200" fontId="2" fillId="34" borderId="0" xfId="58" applyNumberFormat="1" applyFont="1" applyFill="1" applyAlignment="1" applyProtection="1">
      <alignment horizontal="right"/>
      <protection/>
    </xf>
    <xf numFmtId="177" fontId="23" fillId="0" borderId="27" xfId="67" applyNumberFormat="1" applyFont="1" applyFill="1" applyBorder="1" applyAlignment="1" applyProtection="1">
      <alignment vertical="center"/>
      <protection/>
    </xf>
    <xf numFmtId="177" fontId="9" fillId="0" borderId="28" xfId="67" applyNumberFormat="1" applyFont="1" applyFill="1" applyBorder="1" applyAlignment="1" applyProtection="1">
      <alignment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" fontId="10" fillId="34" borderId="18" xfId="69" applyNumberFormat="1" applyFont="1" applyFill="1" applyBorder="1" applyAlignment="1" applyProtection="1">
      <alignment horizontal="left" vertical="center"/>
      <protection/>
    </xf>
    <xf numFmtId="172" fontId="10" fillId="34" borderId="18" xfId="69" applyNumberFormat="1" applyFont="1" applyFill="1" applyBorder="1" applyAlignment="1" applyProtection="1">
      <alignment horizontal="left" vertical="center"/>
      <protection/>
    </xf>
    <xf numFmtId="0" fontId="10" fillId="34" borderId="18" xfId="69" applyFont="1" applyFill="1" applyBorder="1" applyAlignment="1" applyProtection="1">
      <alignment vertical="center"/>
      <protection/>
    </xf>
    <xf numFmtId="0" fontId="9" fillId="34" borderId="18" xfId="69" applyFont="1" applyFill="1" applyBorder="1" applyAlignment="1" applyProtection="1">
      <alignment vertical="center"/>
      <protection/>
    </xf>
    <xf numFmtId="168" fontId="9" fillId="0" borderId="18" xfId="69" applyNumberFormat="1" applyFont="1" applyFill="1" applyBorder="1" applyAlignment="1" applyProtection="1">
      <alignment vertical="center"/>
      <protection/>
    </xf>
    <xf numFmtId="1" fontId="5" fillId="0" borderId="29" xfId="69" applyNumberFormat="1" applyFont="1" applyFill="1" applyBorder="1" applyAlignment="1" applyProtection="1">
      <alignment horizontal="left"/>
      <protection/>
    </xf>
    <xf numFmtId="172" fontId="5" fillId="0" borderId="29" xfId="69" applyNumberFormat="1" applyFont="1" applyFill="1" applyBorder="1" applyAlignment="1" applyProtection="1">
      <alignment horizontal="left"/>
      <protection/>
    </xf>
    <xf numFmtId="0" fontId="5" fillId="0" borderId="29" xfId="69" applyFont="1" applyFill="1" applyBorder="1" applyAlignment="1" applyProtection="1">
      <alignment/>
      <protection/>
    </xf>
    <xf numFmtId="0" fontId="5" fillId="0" borderId="15" xfId="69" applyFont="1" applyFill="1" applyBorder="1" applyProtection="1">
      <alignment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10" fontId="5" fillId="0" borderId="16" xfId="69" applyNumberFormat="1" applyFont="1" applyFill="1" applyBorder="1" applyAlignment="1" applyProtection="1">
      <alignment horizontal="right"/>
      <protection/>
    </xf>
    <xf numFmtId="10" fontId="5" fillId="0" borderId="17" xfId="69" applyNumberFormat="1" applyFont="1" applyFill="1" applyBorder="1" applyAlignment="1" applyProtection="1">
      <alignment horizontal="right"/>
      <protection/>
    </xf>
    <xf numFmtId="3" fontId="5" fillId="35" borderId="18" xfId="69" applyNumberFormat="1" applyFont="1" applyFill="1" applyBorder="1" applyProtection="1">
      <alignment/>
      <protection locked="0"/>
    </xf>
    <xf numFmtId="10" fontId="5" fillId="0" borderId="0" xfId="69" applyNumberFormat="1" applyFont="1" applyFill="1" applyBorder="1" applyAlignment="1" applyProtection="1">
      <alignment horizontal="right" vertical="center"/>
      <protection/>
    </xf>
    <xf numFmtId="10" fontId="2" fillId="34" borderId="0" xfId="69" applyNumberFormat="1" applyFont="1" applyFill="1" applyBorder="1" applyProtection="1">
      <alignment/>
      <protection/>
    </xf>
    <xf numFmtId="10" fontId="5" fillId="0" borderId="15" xfId="58" applyNumberFormat="1" applyFont="1" applyFill="1" applyBorder="1" applyAlignment="1" applyProtection="1">
      <alignment vertical="center"/>
      <protection/>
    </xf>
    <xf numFmtId="10" fontId="5" fillId="0" borderId="22" xfId="58" applyNumberFormat="1" applyFont="1" applyFill="1" applyBorder="1" applyAlignment="1" applyProtection="1">
      <alignment vertical="center"/>
      <protection/>
    </xf>
    <xf numFmtId="0" fontId="25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0" fontId="3" fillId="0" borderId="0" xfId="66" applyFont="1" applyFill="1" applyProtection="1">
      <alignment/>
      <protection/>
    </xf>
    <xf numFmtId="0" fontId="5" fillId="0" borderId="29" xfId="69" applyFont="1" applyFill="1" applyBorder="1" applyProtection="1">
      <alignment/>
      <protection/>
    </xf>
    <xf numFmtId="184" fontId="5" fillId="0" borderId="29" xfId="69" applyNumberFormat="1" applyFont="1" applyFill="1" applyBorder="1" applyAlignment="1" applyProtection="1">
      <alignment horizontal="right"/>
      <protection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7" fillId="0" borderId="0" xfId="69" applyFont="1" applyBorder="1" applyAlignment="1" applyProtection="1">
      <alignment horizontal="left"/>
      <protection/>
    </xf>
    <xf numFmtId="3" fontId="5" fillId="0" borderId="18" xfId="69" applyNumberFormat="1" applyFont="1" applyFill="1" applyBorder="1" applyProtection="1">
      <alignment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>
      <alignment vertical="center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68" fontId="2" fillId="34" borderId="13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100" fillId="0" borderId="0" xfId="69" applyNumberFormat="1" applyFont="1" applyFill="1" applyProtection="1">
      <alignment/>
      <protection/>
    </xf>
    <xf numFmtId="168" fontId="9" fillId="34" borderId="11" xfId="66" applyNumberFormat="1" applyFont="1" applyFill="1" applyBorder="1" applyAlignment="1" applyProtection="1">
      <alignment vertical="center"/>
      <protection/>
    </xf>
    <xf numFmtId="177" fontId="3" fillId="0" borderId="30" xfId="67" applyNumberFormat="1" applyFont="1" applyFill="1" applyBorder="1" applyAlignment="1" applyProtection="1">
      <alignment vertical="center"/>
      <protection/>
    </xf>
    <xf numFmtId="0" fontId="3" fillId="0" borderId="0" xfId="67" applyFont="1" applyAlignment="1" applyProtection="1">
      <alignment horizontal="left"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10" fontId="3" fillId="0" borderId="28" xfId="67" applyNumberFormat="1" applyFont="1" applyFill="1" applyBorder="1" applyAlignment="1" applyProtection="1">
      <alignment horizontal="right" vertical="center"/>
      <protection/>
    </xf>
    <xf numFmtId="9" fontId="5" fillId="0" borderId="0" xfId="69" applyNumberFormat="1" applyFont="1" applyProtection="1">
      <alignment/>
      <protection/>
    </xf>
    <xf numFmtId="9" fontId="3" fillId="34" borderId="0" xfId="66" applyNumberFormat="1" applyFont="1" applyFill="1" applyProtection="1">
      <alignment/>
      <protection/>
    </xf>
    <xf numFmtId="200" fontId="21" fillId="0" borderId="0" xfId="58" applyNumberFormat="1" applyFont="1" applyAlignment="1" applyProtection="1">
      <alignment/>
      <protection/>
    </xf>
    <xf numFmtId="168" fontId="3" fillId="34" borderId="11" xfId="66" applyNumberFormat="1" applyFont="1" applyFill="1" applyBorder="1" applyAlignment="1" applyProtection="1">
      <alignment vertical="center"/>
      <protection/>
    </xf>
    <xf numFmtId="177" fontId="3" fillId="0" borderId="31" xfId="67" applyNumberFormat="1" applyFont="1" applyFill="1" applyBorder="1" applyAlignment="1" applyProtection="1">
      <alignment vertical="center"/>
      <protection/>
    </xf>
    <xf numFmtId="10" fontId="92" fillId="0" borderId="0" xfId="69" applyNumberFormat="1" applyFont="1" applyFill="1" applyAlignment="1" applyProtection="1">
      <alignment wrapText="1"/>
      <protection locked="0"/>
    </xf>
    <xf numFmtId="177" fontId="28" fillId="0" borderId="0" xfId="67" applyNumberFormat="1" applyFont="1" applyFill="1" applyBorder="1" applyAlignment="1" applyProtection="1">
      <alignment vertical="center"/>
      <protection/>
    </xf>
    <xf numFmtId="3" fontId="15" fillId="0" borderId="0" xfId="69" applyNumberFormat="1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1" fontId="10" fillId="0" borderId="0" xfId="69" applyNumberFormat="1" applyFont="1" applyFill="1" applyBorder="1" applyAlignment="1" applyProtection="1">
      <alignment horizontal="left" vertical="center"/>
      <protection/>
    </xf>
    <xf numFmtId="198" fontId="9" fillId="0" borderId="15" xfId="69" applyNumberFormat="1" applyFont="1" applyFill="1" applyBorder="1" applyProtection="1">
      <alignment/>
      <protection locked="0"/>
    </xf>
    <xf numFmtId="199" fontId="3" fillId="0" borderId="15" xfId="67" applyNumberFormat="1" applyFont="1" applyFill="1" applyBorder="1" applyAlignment="1" applyProtection="1">
      <alignment horizontal="right" vertical="center"/>
      <protection locked="0"/>
    </xf>
    <xf numFmtId="168" fontId="9" fillId="35" borderId="19" xfId="66" applyNumberFormat="1" applyFont="1" applyFill="1" applyBorder="1" applyAlignment="1" applyProtection="1">
      <alignment vertical="center"/>
      <protection/>
    </xf>
    <xf numFmtId="0" fontId="9" fillId="0" borderId="32" xfId="69" applyFont="1" applyFill="1" applyBorder="1" applyAlignment="1" applyProtection="1">
      <alignment vertical="center"/>
      <protection/>
    </xf>
    <xf numFmtId="184" fontId="5" fillId="0" borderId="32" xfId="69" applyNumberFormat="1" applyFont="1" applyFill="1" applyBorder="1" applyAlignment="1" applyProtection="1">
      <alignment horizontal="right" vertical="center"/>
      <protection/>
    </xf>
    <xf numFmtId="198" fontId="9" fillId="0" borderId="32" xfId="69" applyNumberFormat="1" applyFont="1" applyFill="1" applyBorder="1" applyProtection="1">
      <alignment/>
      <protection locked="0"/>
    </xf>
    <xf numFmtId="199" fontId="3" fillId="0" borderId="32" xfId="67" applyNumberFormat="1" applyFont="1" applyFill="1" applyBorder="1" applyAlignment="1" applyProtection="1">
      <alignment horizontal="right" vertical="center"/>
      <protection locked="0"/>
    </xf>
    <xf numFmtId="0" fontId="9" fillId="0" borderId="22" xfId="69" applyFont="1" applyFill="1" applyBorder="1" applyAlignment="1" applyProtection="1">
      <alignment vertical="center"/>
      <protection/>
    </xf>
    <xf numFmtId="184" fontId="5" fillId="0" borderId="22" xfId="69" applyNumberFormat="1" applyFont="1" applyFill="1" applyBorder="1" applyAlignment="1" applyProtection="1">
      <alignment horizontal="right" vertical="center"/>
      <protection/>
    </xf>
    <xf numFmtId="198" fontId="9" fillId="0" borderId="22" xfId="69" applyNumberFormat="1" applyFont="1" applyFill="1" applyBorder="1" applyProtection="1">
      <alignment/>
      <protection locked="0"/>
    </xf>
    <xf numFmtId="199" fontId="3" fillId="0" borderId="22" xfId="67" applyNumberFormat="1" applyFont="1" applyFill="1" applyBorder="1" applyAlignment="1" applyProtection="1">
      <alignment horizontal="right" vertical="center"/>
      <protection locked="0"/>
    </xf>
    <xf numFmtId="0" fontId="9" fillId="0" borderId="16" xfId="69" applyFont="1" applyFill="1" applyBorder="1" applyAlignment="1" applyProtection="1">
      <alignment vertical="center"/>
      <protection/>
    </xf>
    <xf numFmtId="184" fontId="5" fillId="0" borderId="16" xfId="69" applyNumberFormat="1" applyFont="1" applyFill="1" applyBorder="1" applyAlignment="1" applyProtection="1">
      <alignment horizontal="right" vertical="center"/>
      <protection/>
    </xf>
    <xf numFmtId="198" fontId="9" fillId="0" borderId="16" xfId="69" applyNumberFormat="1" applyFont="1" applyFill="1" applyBorder="1" applyProtection="1">
      <alignment/>
      <protection locked="0"/>
    </xf>
    <xf numFmtId="199" fontId="3" fillId="0" borderId="16" xfId="67" applyNumberFormat="1" applyFont="1" applyFill="1" applyBorder="1" applyAlignment="1" applyProtection="1">
      <alignment horizontal="right" vertical="center"/>
      <protection locked="0"/>
    </xf>
    <xf numFmtId="0" fontId="21" fillId="0" borderId="32" xfId="69" applyFont="1" applyFill="1" applyBorder="1" applyAlignment="1" applyProtection="1">
      <alignment vertical="center"/>
      <protection/>
    </xf>
    <xf numFmtId="172" fontId="9" fillId="0" borderId="0" xfId="69" applyNumberFormat="1" applyFont="1" applyFill="1" applyBorder="1" applyAlignment="1" applyProtection="1">
      <alignment horizontal="left" vertical="center"/>
      <protection/>
    </xf>
    <xf numFmtId="198" fontId="9" fillId="0" borderId="0" xfId="69" applyNumberFormat="1" applyFont="1" applyFill="1" applyBorder="1" applyProtection="1">
      <alignment/>
      <protection locked="0"/>
    </xf>
    <xf numFmtId="199" fontId="3" fillId="0" borderId="0" xfId="67" applyNumberFormat="1" applyFont="1" applyFill="1" applyBorder="1" applyAlignment="1" applyProtection="1">
      <alignment horizontal="right" vertical="center"/>
      <protection locked="0"/>
    </xf>
    <xf numFmtId="168" fontId="9" fillId="0" borderId="0" xfId="66" applyNumberFormat="1" applyFont="1" applyFill="1" applyBorder="1" applyAlignment="1" applyProtection="1">
      <alignment vertical="center"/>
      <protection/>
    </xf>
    <xf numFmtId="168" fontId="3" fillId="0" borderId="0" xfId="66" applyNumberFormat="1" applyFont="1" applyFill="1" applyAlignment="1" applyProtection="1">
      <alignment/>
      <protection/>
    </xf>
    <xf numFmtId="172" fontId="10" fillId="0" borderId="0" xfId="69" applyNumberFormat="1" applyFont="1" applyFill="1" applyBorder="1" applyAlignment="1" applyProtection="1">
      <alignment horizontal="left" vertical="center"/>
      <protection/>
    </xf>
    <xf numFmtId="0" fontId="10" fillId="0" borderId="0" xfId="69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 locked="0"/>
    </xf>
    <xf numFmtId="168" fontId="2" fillId="34" borderId="0" xfId="66" applyNumberFormat="1" applyFont="1" applyFill="1" applyAlignment="1" applyProtection="1">
      <alignment horizontal="right"/>
      <protection/>
    </xf>
    <xf numFmtId="0" fontId="11" fillId="0" borderId="0" xfId="66" applyFont="1" applyFill="1" applyBorder="1" applyAlignment="1" applyProtection="1">
      <alignment horizontal="right"/>
      <protection/>
    </xf>
    <xf numFmtId="168" fontId="3" fillId="0" borderId="0" xfId="66" applyNumberFormat="1" applyFont="1" applyAlignment="1" applyProtection="1">
      <alignment horizontal="right"/>
      <protection/>
    </xf>
    <xf numFmtId="0" fontId="3" fillId="0" borderId="0" xfId="66" applyFont="1" applyFill="1" applyBorder="1" applyAlignment="1" applyProtection="1">
      <alignment horizontal="right"/>
      <protection/>
    </xf>
    <xf numFmtId="168" fontId="2" fillId="0" borderId="0" xfId="66" applyNumberFormat="1" applyFont="1" applyBorder="1" applyAlignment="1" applyProtection="1">
      <alignment horizontal="right"/>
      <protection/>
    </xf>
    <xf numFmtId="168" fontId="3" fillId="0" borderId="13" xfId="66" applyNumberFormat="1" applyFont="1" applyBorder="1" applyAlignment="1" applyProtection="1">
      <alignment horizontal="right"/>
      <protection/>
    </xf>
    <xf numFmtId="177" fontId="19" fillId="0" borderId="0" xfId="66" applyNumberFormat="1" applyFont="1" applyFill="1" applyProtection="1">
      <alignment/>
      <protection/>
    </xf>
    <xf numFmtId="168" fontId="2" fillId="0" borderId="0" xfId="66" applyNumberFormat="1" applyFont="1" applyAlignment="1" applyProtection="1">
      <alignment horizontal="right"/>
      <protection/>
    </xf>
    <xf numFmtId="168" fontId="3" fillId="0" borderId="0" xfId="66" applyNumberFormat="1" applyFont="1" applyBorder="1" applyAlignment="1" applyProtection="1">
      <alignment horizontal="right"/>
      <protection/>
    </xf>
    <xf numFmtId="168" fontId="97" fillId="36" borderId="0" xfId="66" applyNumberFormat="1" applyFont="1" applyFill="1" applyBorder="1" applyAlignment="1" applyProtection="1">
      <alignment horizontal="right"/>
      <protection/>
    </xf>
    <xf numFmtId="0" fontId="2" fillId="0" borderId="0" xfId="66" applyFont="1" applyFill="1" applyBorder="1" applyAlignment="1" applyProtection="1">
      <alignment horizontal="right"/>
      <protection/>
    </xf>
    <xf numFmtId="3" fontId="14" fillId="0" borderId="0" xfId="69" applyNumberFormat="1" applyFont="1" applyFill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left" wrapText="1"/>
      <protection/>
    </xf>
    <xf numFmtId="0" fontId="10" fillId="34" borderId="0" xfId="69" applyFont="1" applyFill="1" applyBorder="1" applyAlignment="1" applyProtection="1">
      <alignment horizontal="left"/>
      <protection/>
    </xf>
    <xf numFmtId="0" fontId="13" fillId="34" borderId="0" xfId="69" applyFont="1" applyFill="1" applyBorder="1" applyAlignment="1" applyProtection="1">
      <alignment vertical="center"/>
      <protection/>
    </xf>
    <xf numFmtId="0" fontId="6" fillId="34" borderId="0" xfId="69" applyFont="1" applyFill="1" applyBorder="1" applyAlignment="1" applyProtection="1">
      <alignment vertical="center"/>
      <protection/>
    </xf>
    <xf numFmtId="0" fontId="101" fillId="0" borderId="0" xfId="69" applyFont="1" applyFill="1" applyBorder="1" applyAlignment="1" applyProtection="1">
      <alignment vertical="center"/>
      <protection/>
    </xf>
    <xf numFmtId="0" fontId="10" fillId="0" borderId="0" xfId="69" applyFont="1" applyFill="1" applyBorder="1" applyAlignment="1" applyProtection="1">
      <alignment horizontal="left"/>
      <protection/>
    </xf>
    <xf numFmtId="0" fontId="10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202" fontId="101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center" vertical="center"/>
      <protection/>
    </xf>
    <xf numFmtId="196" fontId="4" fillId="0" borderId="0" xfId="69" applyNumberFormat="1" applyFont="1" applyFill="1" applyBorder="1" applyAlignment="1" applyProtection="1">
      <alignment horizontal="center" vertical="center"/>
      <protection/>
    </xf>
    <xf numFmtId="0" fontId="9" fillId="0" borderId="11" xfId="69" applyFont="1" applyFill="1" applyBorder="1" applyAlignment="1" applyProtection="1">
      <alignment vertical="center"/>
      <protection/>
    </xf>
    <xf numFmtId="197" fontId="5" fillId="0" borderId="11" xfId="69" applyNumberFormat="1" applyFont="1" applyFill="1" applyBorder="1" applyAlignment="1" applyProtection="1">
      <alignment horizontal="center" vertical="center"/>
      <protection/>
    </xf>
    <xf numFmtId="0" fontId="5" fillId="0" borderId="11" xfId="69" applyFont="1" applyFill="1" applyBorder="1" applyAlignment="1" applyProtection="1">
      <alignment horizontal="center" vertical="center"/>
      <protection/>
    </xf>
    <xf numFmtId="196" fontId="5" fillId="34" borderId="11" xfId="69" applyNumberFormat="1" applyFont="1" applyFill="1" applyBorder="1" applyAlignment="1" applyProtection="1">
      <alignment vertical="center"/>
      <protection/>
    </xf>
    <xf numFmtId="3" fontId="9" fillId="0" borderId="0" xfId="69" applyNumberFormat="1" applyFont="1" applyFill="1" applyBorder="1" applyAlignment="1" applyProtection="1">
      <alignment horizontal="right" vertical="center"/>
      <protection/>
    </xf>
    <xf numFmtId="0" fontId="9" fillId="0" borderId="12" xfId="69" applyFont="1" applyFill="1" applyBorder="1" applyAlignment="1" applyProtection="1">
      <alignment vertical="center"/>
      <protection/>
    </xf>
    <xf numFmtId="197" fontId="5" fillId="0" borderId="12" xfId="69" applyNumberFormat="1" applyFont="1" applyFill="1" applyBorder="1" applyAlignment="1" applyProtection="1">
      <alignment horizontal="center" vertical="center"/>
      <protection/>
    </xf>
    <xf numFmtId="0" fontId="5" fillId="0" borderId="12" xfId="69" applyFont="1" applyFill="1" applyBorder="1" applyAlignment="1" applyProtection="1">
      <alignment horizontal="center" vertical="center"/>
      <protection/>
    </xf>
    <xf numFmtId="196" fontId="5" fillId="34" borderId="12" xfId="69" applyNumberFormat="1" applyFont="1" applyFill="1" applyBorder="1" applyAlignment="1" applyProtection="1">
      <alignment vertical="center"/>
      <protection/>
    </xf>
    <xf numFmtId="0" fontId="4" fillId="0" borderId="28" xfId="46" applyFont="1" applyBorder="1" applyAlignment="1" applyProtection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196" fontId="5" fillId="34" borderId="0" xfId="69" applyNumberFormat="1" applyFont="1" applyFill="1" applyBorder="1" applyAlignment="1" applyProtection="1">
      <alignment vertical="center"/>
      <protection/>
    </xf>
    <xf numFmtId="10" fontId="9" fillId="0" borderId="0" xfId="69" applyNumberFormat="1" applyFont="1" applyFill="1" applyBorder="1" applyAlignment="1" applyProtection="1">
      <alignment horizontal="right" vertical="center"/>
      <protection/>
    </xf>
    <xf numFmtId="3" fontId="9" fillId="0" borderId="0" xfId="69" applyNumberFormat="1" applyFont="1" applyFill="1" applyBorder="1" applyAlignment="1" applyProtection="1">
      <alignment horizontal="center" vertical="center"/>
      <protection/>
    </xf>
    <xf numFmtId="10" fontId="9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33" xfId="69" applyNumberFormat="1" applyFont="1" applyFill="1" applyBorder="1" applyAlignment="1" applyProtection="1">
      <alignment horizontal="center" vertical="center"/>
      <protection/>
    </xf>
    <xf numFmtId="196" fontId="4" fillId="0" borderId="34" xfId="69" applyNumberFormat="1" applyFont="1" applyFill="1" applyBorder="1" applyAlignment="1" applyProtection="1">
      <alignment horizontal="center" vertical="center"/>
      <protection/>
    </xf>
    <xf numFmtId="196" fontId="4" fillId="0" borderId="33" xfId="69" applyNumberFormat="1" applyFont="1" applyFill="1" applyBorder="1" applyAlignment="1" applyProtection="1">
      <alignment horizontal="center" vertical="center"/>
      <protection/>
    </xf>
    <xf numFmtId="1" fontId="5" fillId="37" borderId="33" xfId="69" applyNumberFormat="1" applyFont="1" applyFill="1" applyBorder="1" applyAlignment="1" applyProtection="1">
      <alignment horizontal="center" vertical="center"/>
      <protection/>
    </xf>
    <xf numFmtId="196" fontId="5" fillId="34" borderId="33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Protection="1">
      <alignment/>
      <protection/>
    </xf>
    <xf numFmtId="197" fontId="5" fillId="34" borderId="0" xfId="69" applyNumberFormat="1" applyFont="1" applyFill="1" applyBorder="1" applyAlignment="1" applyProtection="1">
      <alignment horizontal="center" vertical="center"/>
      <protection/>
    </xf>
    <xf numFmtId="197" fontId="5" fillId="0" borderId="0" xfId="69" applyNumberFormat="1" applyFont="1" applyFill="1" applyBorder="1" applyAlignment="1" applyProtection="1">
      <alignment horizontal="right" vertical="center"/>
      <protection/>
    </xf>
    <xf numFmtId="10" fontId="5" fillId="0" borderId="0" xfId="69" applyNumberFormat="1" applyFont="1" applyFill="1" applyBorder="1" applyAlignment="1" applyProtection="1">
      <alignment horizontal="left" vertical="center"/>
      <protection/>
    </xf>
    <xf numFmtId="0" fontId="2" fillId="34" borderId="0" xfId="67" applyFont="1" applyFill="1" applyBorder="1" applyAlignment="1" applyProtection="1">
      <alignment vertical="center"/>
      <protection/>
    </xf>
    <xf numFmtId="0" fontId="3" fillId="34" borderId="0" xfId="67" applyFill="1" applyBorder="1" applyAlignment="1" applyProtection="1">
      <alignment vertical="center"/>
      <protection/>
    </xf>
    <xf numFmtId="0" fontId="5" fillId="34" borderId="0" xfId="69" applyFont="1" applyFill="1" applyProtection="1">
      <alignment/>
      <protection/>
    </xf>
    <xf numFmtId="0" fontId="5" fillId="34" borderId="0" xfId="69" applyFont="1" applyFill="1" applyBorder="1" applyProtection="1">
      <alignment/>
      <protection/>
    </xf>
    <xf numFmtId="3" fontId="5" fillId="34" borderId="0" xfId="69" applyNumberFormat="1" applyFont="1" applyFill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/>
      <protection/>
    </xf>
    <xf numFmtId="0" fontId="14" fillId="0" borderId="0" xfId="69" applyFont="1" applyFill="1" applyAlignment="1" applyProtection="1">
      <alignment horizontal="center"/>
      <protection/>
    </xf>
    <xf numFmtId="4" fontId="5" fillId="34" borderId="0" xfId="69" applyNumberFormat="1" applyFont="1" applyFill="1" applyBorder="1" applyAlignment="1" applyProtection="1">
      <alignment horizontal="right" vertical="center"/>
      <protection/>
    </xf>
    <xf numFmtId="3" fontId="5" fillId="34" borderId="0" xfId="69" applyNumberFormat="1" applyFont="1" applyFill="1" applyBorder="1" applyAlignment="1" applyProtection="1">
      <alignment horizontal="right" vertical="center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2" fillId="34" borderId="0" xfId="66" applyFont="1" applyFill="1" applyBorder="1" applyAlignment="1" applyProtection="1">
      <alignment/>
      <protection/>
    </xf>
    <xf numFmtId="0" fontId="3" fillId="34" borderId="0" xfId="66" applyFont="1" applyFill="1" applyBorder="1" applyAlignment="1" applyProtection="1">
      <alignment vertical="center"/>
      <protection/>
    </xf>
    <xf numFmtId="0" fontId="3" fillId="34" borderId="0" xfId="67" applyFont="1" applyFill="1" applyBorder="1" applyAlignment="1" applyProtection="1">
      <alignment vertical="center"/>
      <protection/>
    </xf>
    <xf numFmtId="174" fontId="2" fillId="34" borderId="0" xfId="67" applyNumberFormat="1" applyFont="1" applyFill="1" applyBorder="1" applyAlignment="1" applyProtection="1">
      <alignment horizontal="right" vertical="center"/>
      <protection/>
    </xf>
    <xf numFmtId="10" fontId="5" fillId="34" borderId="0" xfId="69" applyNumberFormat="1" applyFont="1" applyFill="1" applyBorder="1" applyAlignment="1" applyProtection="1">
      <alignment horizontal="right"/>
      <protection/>
    </xf>
    <xf numFmtId="177" fontId="10" fillId="34" borderId="0" xfId="66" applyNumberFormat="1" applyFont="1" applyFill="1" applyBorder="1" applyAlignment="1" applyProtection="1">
      <alignment vertical="center"/>
      <protection/>
    </xf>
    <xf numFmtId="0" fontId="2" fillId="0" borderId="0" xfId="66" applyFont="1" applyFill="1" applyBorder="1" applyAlignment="1" applyProtection="1">
      <alignment/>
      <protection/>
    </xf>
    <xf numFmtId="10" fontId="102" fillId="0" borderId="0" xfId="67" applyNumberFormat="1" applyFont="1" applyFill="1" applyBorder="1" applyAlignment="1" applyProtection="1">
      <alignment vertical="center"/>
      <protection locked="0"/>
    </xf>
    <xf numFmtId="0" fontId="3" fillId="0" borderId="0" xfId="67" applyBorder="1" applyAlignment="1" applyProtection="1">
      <alignment vertical="center"/>
      <protection/>
    </xf>
    <xf numFmtId="0" fontId="93" fillId="0" borderId="0" xfId="67" applyFont="1" applyBorder="1" applyAlignment="1" applyProtection="1">
      <alignment vertical="center"/>
      <protection/>
    </xf>
    <xf numFmtId="0" fontId="94" fillId="0" borderId="0" xfId="67" applyNumberFormat="1" applyFont="1" applyFill="1" applyBorder="1" applyAlignment="1" applyProtection="1">
      <alignment horizontal="right" vertical="center"/>
      <protection/>
    </xf>
    <xf numFmtId="0" fontId="26" fillId="0" borderId="0" xfId="67" applyFont="1" applyBorder="1" applyAlignment="1" applyProtection="1">
      <alignment vertical="center"/>
      <protection/>
    </xf>
    <xf numFmtId="0" fontId="103" fillId="0" borderId="0" xfId="67" applyFont="1" applyBorder="1" applyAlignment="1" applyProtection="1">
      <alignment vertical="center"/>
      <protection/>
    </xf>
    <xf numFmtId="0" fontId="41" fillId="0" borderId="0" xfId="69" applyFont="1" applyFill="1" applyBorder="1" applyProtection="1">
      <alignment/>
      <protection/>
    </xf>
    <xf numFmtId="10" fontId="3" fillId="0" borderId="0" xfId="67" applyNumberFormat="1" applyFont="1" applyFill="1" applyBorder="1" applyAlignment="1" applyProtection="1">
      <alignment horizontal="right" vertical="center"/>
      <protection locked="0"/>
    </xf>
    <xf numFmtId="0" fontId="42" fillId="0" borderId="0" xfId="69" applyFont="1" applyFill="1" applyBorder="1" applyProtection="1">
      <alignment/>
      <protection/>
    </xf>
    <xf numFmtId="0" fontId="104" fillId="0" borderId="0" xfId="0" applyFont="1" applyFill="1" applyBorder="1" applyAlignment="1">
      <alignment/>
    </xf>
    <xf numFmtId="0" fontId="26" fillId="0" borderId="11" xfId="67" applyFont="1" applyBorder="1" applyAlignment="1" applyProtection="1">
      <alignment vertical="center"/>
      <protection/>
    </xf>
    <xf numFmtId="0" fontId="103" fillId="0" borderId="11" xfId="67" applyFont="1" applyBorder="1" applyAlignment="1" applyProtection="1">
      <alignment vertical="center"/>
      <protection/>
    </xf>
    <xf numFmtId="0" fontId="41" fillId="0" borderId="11" xfId="69" applyFont="1" applyFill="1" applyBorder="1" applyProtection="1">
      <alignment/>
      <protection/>
    </xf>
    <xf numFmtId="10" fontId="102" fillId="0" borderId="35" xfId="67" applyNumberFormat="1" applyFont="1" applyFill="1" applyBorder="1" applyAlignment="1" applyProtection="1">
      <alignment vertical="center"/>
      <protection locked="0"/>
    </xf>
    <xf numFmtId="10" fontId="3" fillId="0" borderId="35" xfId="67" applyNumberFormat="1" applyFont="1" applyFill="1" applyBorder="1" applyAlignment="1" applyProtection="1">
      <alignment vertical="center"/>
      <protection locked="0"/>
    </xf>
    <xf numFmtId="0" fontId="41" fillId="0" borderId="35" xfId="69" applyFont="1" applyFill="1" applyBorder="1" applyProtection="1">
      <alignment/>
      <protection/>
    </xf>
    <xf numFmtId="0" fontId="14" fillId="0" borderId="0" xfId="69" applyFont="1" applyFill="1" applyProtection="1">
      <alignment/>
      <protection/>
    </xf>
    <xf numFmtId="0" fontId="10" fillId="34" borderId="0" xfId="69" applyFont="1" applyFill="1" applyBorder="1" applyProtection="1">
      <alignment/>
      <protection/>
    </xf>
    <xf numFmtId="0" fontId="6" fillId="34" borderId="0" xfId="69" applyFont="1" applyFill="1" applyAlignment="1" applyProtection="1">
      <alignment horizontal="left"/>
      <protection/>
    </xf>
    <xf numFmtId="10" fontId="5" fillId="34" borderId="0" xfId="69" applyNumberFormat="1" applyFont="1" applyFill="1" applyProtection="1">
      <alignment/>
      <protection/>
    </xf>
    <xf numFmtId="0" fontId="0" fillId="34" borderId="0" xfId="0" applyFill="1" applyAlignment="1" applyProtection="1">
      <alignment/>
      <protection/>
    </xf>
    <xf numFmtId="199" fontId="3" fillId="0" borderId="0" xfId="67" applyNumberFormat="1" applyFont="1" applyFill="1" applyAlignment="1" applyProtection="1">
      <alignment horizontal="right" vertical="center"/>
      <protection locked="0"/>
    </xf>
    <xf numFmtId="0" fontId="13" fillId="0" borderId="0" xfId="69" applyFont="1" applyFill="1" applyBorder="1" applyAlignment="1" applyProtection="1">
      <alignment horizontal="right" vertical="center"/>
      <protection/>
    </xf>
    <xf numFmtId="177" fontId="19" fillId="34" borderId="0" xfId="66" applyNumberFormat="1" applyFont="1" applyFill="1" applyAlignment="1" applyProtection="1">
      <alignment horizontal="right"/>
      <protection/>
    </xf>
    <xf numFmtId="0" fontId="8" fillId="0" borderId="0" xfId="66" applyFont="1" applyProtection="1">
      <alignment/>
      <protection/>
    </xf>
    <xf numFmtId="177" fontId="7" fillId="0" borderId="0" xfId="66" applyNumberFormat="1" applyFont="1" applyFill="1" applyAlignment="1" applyProtection="1">
      <alignment horizontal="right"/>
      <protection/>
    </xf>
    <xf numFmtId="10" fontId="3" fillId="0" borderId="13" xfId="66" applyNumberFormat="1" applyFont="1" applyBorder="1" applyAlignment="1" applyProtection="1">
      <alignment horizontal="right"/>
      <protection/>
    </xf>
    <xf numFmtId="10" fontId="3" fillId="0" borderId="0" xfId="66" applyNumberFormat="1" applyFont="1" applyAlignment="1" applyProtection="1">
      <alignment horizontal="right"/>
      <protection/>
    </xf>
    <xf numFmtId="176" fontId="7" fillId="34" borderId="0" xfId="66" applyNumberFormat="1" applyFont="1" applyFill="1" applyBorder="1" applyProtection="1">
      <alignment/>
      <protection/>
    </xf>
    <xf numFmtId="10" fontId="3" fillId="34" borderId="0" xfId="66" applyNumberFormat="1" applyFont="1" applyFill="1" applyBorder="1" applyAlignment="1" applyProtection="1">
      <alignment horizontal="right"/>
      <protection/>
    </xf>
    <xf numFmtId="9" fontId="3" fillId="34" borderId="0" xfId="66" applyNumberFormat="1" applyFont="1" applyFill="1" applyBorder="1" applyAlignment="1" applyProtection="1">
      <alignment horizontal="center"/>
      <protection/>
    </xf>
    <xf numFmtId="0" fontId="8" fillId="0" borderId="0" xfId="66" applyFont="1" applyFill="1" applyProtection="1">
      <alignment/>
      <protection/>
    </xf>
    <xf numFmtId="9" fontId="3" fillId="0" borderId="0" xfId="66" applyNumberFormat="1" applyFont="1" applyAlignment="1" applyProtection="1">
      <alignment horizontal="right"/>
      <protection/>
    </xf>
    <xf numFmtId="0" fontId="3" fillId="0" borderId="0" xfId="66" applyFont="1" applyFill="1" applyAlignment="1" applyProtection="1">
      <alignment horizontal="right"/>
      <protection/>
    </xf>
    <xf numFmtId="0" fontId="3" fillId="36" borderId="0" xfId="66" applyFont="1" applyFill="1" applyBorder="1" applyProtection="1">
      <alignment/>
      <protection/>
    </xf>
    <xf numFmtId="0" fontId="8" fillId="0" borderId="0" xfId="66" applyFont="1" applyBorder="1" applyProtection="1">
      <alignment/>
      <protection/>
    </xf>
    <xf numFmtId="0" fontId="98" fillId="0" borderId="0" xfId="66" applyFont="1" applyFill="1" applyBorder="1" applyAlignment="1" applyProtection="1">
      <alignment vertical="center"/>
      <protection/>
    </xf>
    <xf numFmtId="0" fontId="105" fillId="0" borderId="0" xfId="66" applyFont="1" applyFill="1" applyBorder="1" applyAlignment="1" applyProtection="1">
      <alignment vertical="center"/>
      <protection/>
    </xf>
    <xf numFmtId="10" fontId="102" fillId="0" borderId="0" xfId="58" applyNumberFormat="1" applyFont="1" applyAlignment="1">
      <alignment horizontal="right" vertical="center"/>
    </xf>
    <xf numFmtId="10" fontId="102" fillId="0" borderId="11" xfId="58" applyNumberFormat="1" applyFont="1" applyBorder="1" applyAlignment="1">
      <alignment horizontal="right" vertical="center"/>
    </xf>
    <xf numFmtId="0" fontId="5" fillId="0" borderId="0" xfId="69" applyFont="1">
      <alignment/>
      <protection/>
    </xf>
    <xf numFmtId="1" fontId="4" fillId="0" borderId="0" xfId="46" applyNumberFormat="1" applyFont="1" applyAlignment="1">
      <alignment horizontal="center" vertical="center"/>
    </xf>
    <xf numFmtId="1" fontId="106" fillId="0" borderId="0" xfId="46" applyNumberFormat="1" applyFont="1" applyAlignment="1">
      <alignment horizontal="right" vertical="center"/>
    </xf>
    <xf numFmtId="0" fontId="3" fillId="0" borderId="0" xfId="66" applyFont="1" applyBorder="1" applyAlignment="1" applyProtection="1">
      <alignment/>
      <protection/>
    </xf>
    <xf numFmtId="0" fontId="3" fillId="0" borderId="0" xfId="67" applyFont="1" applyBorder="1" applyAlignment="1" applyProtection="1">
      <alignment vertical="center"/>
      <protection/>
    </xf>
    <xf numFmtId="188" fontId="9" fillId="35" borderId="36" xfId="69" applyNumberFormat="1" applyFont="1" applyFill="1" applyBorder="1" applyAlignment="1" applyProtection="1">
      <alignment horizontal="right"/>
      <protection locked="0"/>
    </xf>
    <xf numFmtId="201" fontId="9" fillId="35" borderId="15" xfId="69" applyNumberFormat="1" applyFont="1" applyFill="1" applyBorder="1" applyAlignment="1" applyProtection="1">
      <alignment horizontal="right"/>
      <protection locked="0"/>
    </xf>
    <xf numFmtId="168" fontId="9" fillId="34" borderId="0" xfId="69" applyNumberFormat="1" applyFont="1" applyFill="1" applyBorder="1" applyAlignment="1" applyProtection="1">
      <alignment horizontal="right" vertical="center"/>
      <protection/>
    </xf>
    <xf numFmtId="200" fontId="21" fillId="0" borderId="0" xfId="58" applyNumberFormat="1" applyFont="1" applyAlignment="1" applyProtection="1">
      <alignment horizontal="right"/>
      <protection/>
    </xf>
    <xf numFmtId="1" fontId="5" fillId="0" borderId="32" xfId="69" applyNumberFormat="1" applyFont="1" applyFill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0" fontId="5" fillId="0" borderId="32" xfId="69" applyFont="1" applyBorder="1" applyAlignment="1" applyProtection="1">
      <alignment horizontal="left"/>
      <protection/>
    </xf>
    <xf numFmtId="0" fontId="3" fillId="0" borderId="11" xfId="66" applyFont="1" applyBorder="1" applyAlignment="1" applyProtection="1">
      <alignment horizontal="left" wrapText="1"/>
      <protection/>
    </xf>
    <xf numFmtId="10" fontId="92" fillId="0" borderId="0" xfId="69" applyNumberFormat="1" applyFont="1" applyFill="1" applyAlignment="1" applyProtection="1">
      <alignment horizontal="center" wrapText="1"/>
      <protection locked="0"/>
    </xf>
    <xf numFmtId="10" fontId="27" fillId="0" borderId="0" xfId="69" applyNumberFormat="1" applyFont="1" applyBorder="1" applyAlignment="1" applyProtection="1">
      <alignment horizontal="right" wrapText="1"/>
      <protection/>
    </xf>
    <xf numFmtId="10" fontId="29" fillId="0" borderId="0" xfId="69" applyNumberFormat="1" applyFont="1" applyBorder="1" applyAlignment="1" applyProtection="1">
      <alignment horizontal="right" wrapText="1"/>
      <protection/>
    </xf>
    <xf numFmtId="1" fontId="10" fillId="0" borderId="0" xfId="69" applyNumberFormat="1" applyFont="1" applyFill="1" applyBorder="1" applyAlignment="1" applyProtection="1">
      <alignment horizontal="left" vertical="center"/>
      <protection/>
    </xf>
    <xf numFmtId="3" fontId="5" fillId="0" borderId="20" xfId="69" applyNumberFormat="1" applyFont="1" applyFill="1" applyBorder="1" applyAlignment="1" applyProtection="1">
      <alignment horizontal="center" vertical="center"/>
      <protection/>
    </xf>
    <xf numFmtId="0" fontId="5" fillId="0" borderId="0" xfId="69" applyFont="1" applyFill="1" applyBorder="1" applyAlignment="1" applyProtection="1">
      <alignment horizontal="center" vertical="center"/>
      <protection/>
    </xf>
    <xf numFmtId="1" fontId="5" fillId="37" borderId="20" xfId="69" applyNumberFormat="1" applyFont="1" applyFill="1" applyBorder="1" applyAlignment="1" applyProtection="1">
      <alignment horizontal="center" vertical="center"/>
      <protection/>
    </xf>
    <xf numFmtId="1" fontId="5" fillId="37" borderId="33" xfId="69" applyNumberFormat="1" applyFont="1" applyFill="1" applyBorder="1" applyAlignment="1" applyProtection="1">
      <alignment horizontal="center" vertical="center"/>
      <protection/>
    </xf>
    <xf numFmtId="196" fontId="4" fillId="37" borderId="34" xfId="69" applyNumberFormat="1" applyFont="1" applyFill="1" applyBorder="1" applyAlignment="1" applyProtection="1">
      <alignment horizontal="center" vertical="center"/>
      <protection/>
    </xf>
    <xf numFmtId="202" fontId="5" fillId="37" borderId="21" xfId="69" applyNumberFormat="1" applyFont="1" applyFill="1" applyBorder="1" applyAlignment="1" applyProtection="1">
      <alignment horizontal="center" vertical="center"/>
      <protection/>
    </xf>
    <xf numFmtId="202" fontId="5" fillId="37" borderId="37" xfId="69" applyNumberFormat="1" applyFont="1" applyFill="1" applyBorder="1" applyAlignment="1" applyProtection="1">
      <alignment horizontal="center" vertical="center"/>
      <protection/>
    </xf>
    <xf numFmtId="202" fontId="4" fillId="37" borderId="38" xfId="69" applyNumberFormat="1" applyFont="1" applyFill="1" applyBorder="1" applyAlignment="1" applyProtection="1">
      <alignment horizontal="right" vertical="center"/>
      <protection/>
    </xf>
    <xf numFmtId="202" fontId="4" fillId="37" borderId="37" xfId="69" applyNumberFormat="1" applyFont="1" applyFill="1" applyBorder="1" applyAlignment="1" applyProtection="1">
      <alignment horizontal="right" vertical="center"/>
      <protection/>
    </xf>
    <xf numFmtId="1" fontId="5" fillId="37" borderId="11" xfId="69" applyNumberFormat="1" applyFont="1" applyFill="1" applyBorder="1" applyAlignment="1" applyProtection="1">
      <alignment horizontal="center" vertical="center"/>
      <protection/>
    </xf>
    <xf numFmtId="1" fontId="5" fillId="34" borderId="21" xfId="69" applyNumberFormat="1" applyFont="1" applyFill="1" applyBorder="1" applyAlignment="1" applyProtection="1">
      <alignment horizontal="center" vertical="center"/>
      <protection/>
    </xf>
    <xf numFmtId="1" fontId="5" fillId="34" borderId="37" xfId="69" applyNumberFormat="1" applyFont="1" applyFill="1" applyBorder="1" applyAlignment="1" applyProtection="1">
      <alignment horizontal="center" vertical="center"/>
      <protection/>
    </xf>
    <xf numFmtId="196" fontId="4" fillId="34" borderId="39" xfId="69" applyNumberFormat="1" applyFont="1" applyFill="1" applyBorder="1" applyAlignment="1" applyProtection="1">
      <alignment horizontal="center" vertical="center"/>
      <protection/>
    </xf>
    <xf numFmtId="1" fontId="5" fillId="34" borderId="38" xfId="69" applyNumberFormat="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center"/>
      <protection locked="0"/>
    </xf>
    <xf numFmtId="3" fontId="5" fillId="34" borderId="0" xfId="46" applyNumberFormat="1" applyFont="1" applyFill="1" applyBorder="1" applyAlignment="1" applyProtection="1">
      <alignment horizontal="right" vertical="center"/>
      <protection/>
    </xf>
    <xf numFmtId="168" fontId="5" fillId="34" borderId="0" xfId="46" applyNumberFormat="1" applyFont="1" applyFill="1" applyBorder="1" applyAlignment="1" applyProtection="1">
      <alignment horizontal="center" vertical="center"/>
      <protection/>
    </xf>
    <xf numFmtId="10" fontId="3" fillId="37" borderId="0" xfId="67" applyNumberFormat="1" applyFont="1" applyFill="1" applyBorder="1" applyAlignment="1" applyProtection="1">
      <alignment horizontal="right" vertical="center"/>
      <protection locked="0"/>
    </xf>
    <xf numFmtId="168" fontId="3" fillId="0" borderId="0" xfId="66" applyNumberFormat="1" applyFont="1" applyBorder="1" applyAlignment="1" applyProtection="1">
      <alignment horizontal="center"/>
      <protection/>
    </xf>
    <xf numFmtId="10" fontId="3" fillId="37" borderId="35" xfId="67" applyNumberFormat="1" applyFont="1" applyFill="1" applyBorder="1" applyAlignment="1" applyProtection="1">
      <alignment horizontal="right" vertical="center"/>
      <protection locked="0"/>
    </xf>
    <xf numFmtId="168" fontId="3" fillId="0" borderId="35" xfId="66" applyNumberFormat="1" applyFont="1" applyBorder="1" applyAlignment="1" applyProtection="1">
      <alignment horizontal="center"/>
      <protection/>
    </xf>
    <xf numFmtId="10" fontId="102" fillId="0" borderId="40" xfId="67" applyNumberFormat="1" applyFont="1" applyFill="1" applyBorder="1" applyAlignment="1" applyProtection="1">
      <alignment horizontal="right" vertical="center"/>
      <protection locked="0"/>
    </xf>
    <xf numFmtId="10" fontId="3" fillId="0" borderId="0" xfId="67" applyNumberFormat="1" applyFont="1" applyFill="1" applyBorder="1" applyAlignment="1" applyProtection="1">
      <alignment horizontal="right" vertical="center"/>
      <protection locked="0"/>
    </xf>
    <xf numFmtId="168" fontId="2" fillId="0" borderId="0" xfId="66" applyNumberFormat="1" applyFont="1" applyFill="1" applyAlignment="1" applyProtection="1">
      <alignment horizontal="center"/>
      <protection/>
    </xf>
    <xf numFmtId="198" fontId="9" fillId="37" borderId="26" xfId="69" applyNumberFormat="1" applyFont="1" applyFill="1" applyBorder="1" applyAlignment="1" applyProtection="1">
      <alignment horizontal="right"/>
      <protection locked="0"/>
    </xf>
    <xf numFmtId="199" fontId="3" fillId="37" borderId="0" xfId="67" applyNumberFormat="1" applyFont="1" applyFill="1" applyAlignment="1" applyProtection="1">
      <alignment horizontal="right" vertical="center"/>
      <protection locked="0"/>
    </xf>
    <xf numFmtId="168" fontId="2" fillId="34" borderId="0" xfId="66" applyNumberFormat="1" applyFont="1" applyFill="1" applyAlignment="1" applyProtection="1">
      <alignment horizontal="center"/>
      <protection/>
    </xf>
    <xf numFmtId="10" fontId="3" fillId="37" borderId="0" xfId="66" applyNumberFormat="1" applyFont="1" applyFill="1" applyAlignment="1" applyProtection="1">
      <alignment horizontal="right"/>
      <protection locked="0"/>
    </xf>
    <xf numFmtId="10" fontId="3" fillId="0" borderId="0" xfId="66" applyNumberFormat="1" applyFont="1" applyFill="1" applyAlignment="1" applyProtection="1">
      <alignment horizontal="right"/>
      <protection/>
    </xf>
    <xf numFmtId="168" fontId="2" fillId="36" borderId="0" xfId="66" applyNumberFormat="1" applyFont="1" applyFill="1" applyAlignment="1" applyProtection="1">
      <alignment horizontal="center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40</xdr:row>
      <xdr:rowOff>47625</xdr:rowOff>
    </xdr:from>
    <xdr:to>
      <xdr:col>9</xdr:col>
      <xdr:colOff>685800</xdr:colOff>
      <xdr:row>58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57750" y="5648325"/>
          <a:ext cx="1924050" cy="242887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029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9973" y="5501499"/>
            <a:ext cx="675895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9973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8618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66675</xdr:rowOff>
    </xdr:from>
    <xdr:to>
      <xdr:col>9</xdr:col>
      <xdr:colOff>676275</xdr:colOff>
      <xdr:row>58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67275" y="5753100"/>
          <a:ext cx="1905000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1618" y="5502200"/>
            <a:ext cx="67425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1618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026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57150</xdr:rowOff>
    </xdr:from>
    <xdr:to>
      <xdr:col>9</xdr:col>
      <xdr:colOff>676275</xdr:colOff>
      <xdr:row>58</xdr:row>
      <xdr:rowOff>66675</xdr:rowOff>
    </xdr:to>
    <xdr:grpSp>
      <xdr:nvGrpSpPr>
        <xdr:cNvPr id="1" name="Gruppieren 1"/>
        <xdr:cNvGrpSpPr>
          <a:grpSpLocks/>
        </xdr:cNvGrpSpPr>
      </xdr:nvGrpSpPr>
      <xdr:grpSpPr>
        <a:xfrm>
          <a:off x="4867275" y="5743575"/>
          <a:ext cx="1905000" cy="240030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1618" y="5502901"/>
            <a:ext cx="67425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1618" y="5502901"/>
            <a:ext cx="0" cy="264884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026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M70"/>
  <sheetViews>
    <sheetView showGridLines="0" zoomScale="85" zoomScaleNormal="85" zoomScaleSheetLayoutView="85" zoomScalePageLayoutView="85" workbookViewId="0" topLeftCell="A1">
      <selection activeCell="F5" sqref="F5:G5"/>
    </sheetView>
  </sheetViews>
  <sheetFormatPr defaultColWidth="11.57421875" defaultRowHeight="15"/>
  <cols>
    <col min="1" max="1" width="2.28125" style="6" customWidth="1"/>
    <col min="2" max="2" width="3.28125" style="6" customWidth="1"/>
    <col min="3" max="3" width="32.7109375" style="7" customWidth="1"/>
    <col min="4" max="4" width="6.28125" style="43" customWidth="1"/>
    <col min="5" max="5" width="8.28125" style="43" customWidth="1"/>
    <col min="6" max="6" width="14.7109375" style="7" customWidth="1"/>
    <col min="7" max="7" width="6.7109375" style="7" customWidth="1"/>
    <col min="8" max="8" width="0.85546875" style="7" customWidth="1"/>
    <col min="9" max="9" width="7.7109375" style="43" customWidth="1"/>
    <col min="10" max="10" width="1.7109375" style="43" customWidth="1"/>
    <col min="11" max="11" width="15.7109375" style="9" customWidth="1"/>
    <col min="12" max="12" width="1.8515625" style="0" customWidth="1"/>
    <col min="13" max="13" width="11.57421875" style="0" customWidth="1"/>
    <col min="14" max="16384" width="11.57421875" style="1" customWidth="1"/>
  </cols>
  <sheetData>
    <row r="1" spans="11:13" ht="4.5" customHeight="1">
      <c r="K1" s="8"/>
      <c r="L1" s="59"/>
      <c r="M1" s="1"/>
    </row>
    <row r="2" spans="1:12" s="54" customFormat="1" ht="34.5" customHeight="1">
      <c r="A2" s="139" t="s">
        <v>74</v>
      </c>
      <c r="B2" s="12"/>
      <c r="C2" s="102"/>
      <c r="F2" s="55"/>
      <c r="G2" s="55"/>
      <c r="H2" s="55"/>
      <c r="I2" s="55"/>
      <c r="J2" s="55"/>
      <c r="K2" s="149"/>
      <c r="L2" s="62"/>
    </row>
    <row r="3" spans="1:12" s="10" customFormat="1" ht="6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"/>
    </row>
    <row r="4" s="10" customFormat="1" ht="6" customHeight="1">
      <c r="L4" s="2"/>
    </row>
    <row r="5" spans="9:12" s="10" customFormat="1" ht="12.75" customHeight="1">
      <c r="I5" s="172" t="s">
        <v>66</v>
      </c>
      <c r="J5" s="172"/>
      <c r="K5" s="173" t="s">
        <v>44</v>
      </c>
      <c r="L5" s="45"/>
    </row>
    <row r="6" spans="11:12" s="10" customFormat="1" ht="6" customHeight="1">
      <c r="K6" s="97"/>
      <c r="L6" s="2"/>
    </row>
    <row r="7" spans="1:12" s="11" customFormat="1" ht="12.75" customHeight="1">
      <c r="A7" s="106">
        <v>1</v>
      </c>
      <c r="B7" s="107"/>
      <c r="C7" s="108" t="s">
        <v>0</v>
      </c>
      <c r="D7" s="108"/>
      <c r="E7" s="108"/>
      <c r="F7" s="109"/>
      <c r="G7" s="109"/>
      <c r="H7" s="109"/>
      <c r="I7" s="289">
        <f>K7/$K$38</f>
        <v>0.0005</v>
      </c>
      <c r="J7" s="109"/>
      <c r="K7" s="185">
        <v>15000</v>
      </c>
      <c r="L7" s="50"/>
    </row>
    <row r="8" spans="1:13" ht="6.75" customHeight="1">
      <c r="A8" s="3"/>
      <c r="B8" s="5"/>
      <c r="C8" s="1"/>
      <c r="D8" s="1"/>
      <c r="E8" s="1"/>
      <c r="F8" s="98"/>
      <c r="G8" s="98"/>
      <c r="H8" s="98"/>
      <c r="I8" s="57"/>
      <c r="J8" s="98"/>
      <c r="K8" s="186"/>
      <c r="L8" s="63"/>
      <c r="M8" s="1"/>
    </row>
    <row r="9" spans="1:12" s="11" customFormat="1" ht="12.75" customHeight="1">
      <c r="A9" s="106">
        <v>2</v>
      </c>
      <c r="B9" s="107"/>
      <c r="C9" s="108" t="s">
        <v>1</v>
      </c>
      <c r="D9" s="108"/>
      <c r="E9" s="108"/>
      <c r="F9" s="109"/>
      <c r="G9" s="109"/>
      <c r="H9" s="109"/>
      <c r="I9" s="289">
        <f>K9/$K$38</f>
        <v>0.3056</v>
      </c>
      <c r="J9" s="109"/>
      <c r="K9" s="187">
        <v>9000000</v>
      </c>
      <c r="L9" s="50"/>
    </row>
    <row r="10" spans="1:13" ht="6.75" customHeight="1">
      <c r="A10" s="12"/>
      <c r="B10" s="12"/>
      <c r="C10" s="13"/>
      <c r="D10" s="13"/>
      <c r="E10" s="13"/>
      <c r="F10" s="98"/>
      <c r="G10" s="98"/>
      <c r="H10" s="98"/>
      <c r="I10" s="57"/>
      <c r="J10" s="98"/>
      <c r="K10" s="186"/>
      <c r="L10" s="50"/>
      <c r="M10" s="1"/>
    </row>
    <row r="11" spans="1:12" s="10" customFormat="1" ht="12.75" customHeight="1">
      <c r="A11" s="106">
        <v>3</v>
      </c>
      <c r="B11" s="107"/>
      <c r="C11" s="108" t="s">
        <v>7</v>
      </c>
      <c r="D11" s="108"/>
      <c r="E11" s="108"/>
      <c r="F11" s="109"/>
      <c r="G11" s="109"/>
      <c r="H11" s="109"/>
      <c r="I11" s="289">
        <f>K11/$K$38</f>
        <v>0.1918</v>
      </c>
      <c r="J11" s="109"/>
      <c r="K11" s="188">
        <f>SUM(K12:K19)</f>
        <v>5650000</v>
      </c>
      <c r="L11" s="50"/>
    </row>
    <row r="12" spans="1:13" ht="12.75" customHeight="1">
      <c r="A12" s="110">
        <v>3</v>
      </c>
      <c r="B12" s="111" t="s">
        <v>18</v>
      </c>
      <c r="C12" s="112" t="s">
        <v>19</v>
      </c>
      <c r="D12" s="112"/>
      <c r="E12" s="112"/>
      <c r="F12" s="113"/>
      <c r="G12" s="113"/>
      <c r="H12" s="113"/>
      <c r="I12" s="290"/>
      <c r="J12" s="113"/>
      <c r="K12" s="189">
        <v>900000</v>
      </c>
      <c r="L12" s="50"/>
      <c r="M12" s="1"/>
    </row>
    <row r="13" spans="1:13" ht="12.75" customHeight="1">
      <c r="A13" s="114">
        <v>3</v>
      </c>
      <c r="B13" s="115" t="s">
        <v>20</v>
      </c>
      <c r="C13" s="116" t="s">
        <v>27</v>
      </c>
      <c r="D13" s="116"/>
      <c r="E13" s="116"/>
      <c r="F13" s="117"/>
      <c r="G13" s="117"/>
      <c r="H13" s="117"/>
      <c r="I13" s="291"/>
      <c r="J13" s="117"/>
      <c r="K13" s="189">
        <v>1200000</v>
      </c>
      <c r="L13" s="50"/>
      <c r="M13" s="1"/>
    </row>
    <row r="14" spans="1:13" ht="12.75" customHeight="1">
      <c r="A14" s="114">
        <v>3</v>
      </c>
      <c r="B14" s="115" t="s">
        <v>21</v>
      </c>
      <c r="C14" s="116" t="s">
        <v>28</v>
      </c>
      <c r="D14" s="116"/>
      <c r="E14" s="116"/>
      <c r="F14" s="117"/>
      <c r="G14" s="117"/>
      <c r="H14" s="117"/>
      <c r="I14" s="291"/>
      <c r="J14" s="117"/>
      <c r="K14" s="189">
        <v>1000000</v>
      </c>
      <c r="L14" s="50"/>
      <c r="M14" s="1"/>
    </row>
    <row r="15" spans="1:13" ht="12.75" customHeight="1">
      <c r="A15" s="114">
        <v>3</v>
      </c>
      <c r="B15" s="115" t="s">
        <v>22</v>
      </c>
      <c r="C15" s="116" t="s">
        <v>29</v>
      </c>
      <c r="D15" s="116"/>
      <c r="E15" s="116"/>
      <c r="F15" s="117"/>
      <c r="G15" s="117"/>
      <c r="H15" s="117"/>
      <c r="I15" s="291"/>
      <c r="J15" s="117"/>
      <c r="K15" s="189">
        <v>1500000</v>
      </c>
      <c r="L15" s="50"/>
      <c r="M15" s="1"/>
    </row>
    <row r="16" spans="1:13" ht="12.75" customHeight="1">
      <c r="A16" s="114">
        <v>3</v>
      </c>
      <c r="B16" s="115" t="s">
        <v>23</v>
      </c>
      <c r="C16" s="116" t="s">
        <v>32</v>
      </c>
      <c r="D16" s="116"/>
      <c r="E16" s="116"/>
      <c r="F16" s="117"/>
      <c r="G16" s="117"/>
      <c r="H16" s="117"/>
      <c r="I16" s="291"/>
      <c r="J16" s="117"/>
      <c r="K16" s="189">
        <v>600000</v>
      </c>
      <c r="L16" s="50"/>
      <c r="M16" s="1"/>
    </row>
    <row r="17" spans="1:13" ht="12.75" customHeight="1">
      <c r="A17" s="114">
        <v>3</v>
      </c>
      <c r="B17" s="115" t="s">
        <v>24</v>
      </c>
      <c r="C17" s="116" t="s">
        <v>30</v>
      </c>
      <c r="D17" s="116"/>
      <c r="E17" s="116"/>
      <c r="F17" s="117"/>
      <c r="G17" s="117"/>
      <c r="H17" s="117"/>
      <c r="I17" s="291"/>
      <c r="J17" s="117"/>
      <c r="K17" s="189">
        <v>150000</v>
      </c>
      <c r="L17" s="50"/>
      <c r="M17" s="1"/>
    </row>
    <row r="18" spans="1:13" ht="12.75" customHeight="1">
      <c r="A18" s="114">
        <v>3</v>
      </c>
      <c r="B18" s="115" t="s">
        <v>25</v>
      </c>
      <c r="C18" s="116" t="s">
        <v>31</v>
      </c>
      <c r="D18" s="116"/>
      <c r="E18" s="116"/>
      <c r="F18" s="117"/>
      <c r="G18" s="117"/>
      <c r="H18" s="117"/>
      <c r="I18" s="291"/>
      <c r="J18" s="117"/>
      <c r="K18" s="189">
        <v>0</v>
      </c>
      <c r="L18" s="50"/>
      <c r="M18" s="1"/>
    </row>
    <row r="19" spans="1:13" ht="12.75" customHeight="1">
      <c r="A19" s="114">
        <v>3</v>
      </c>
      <c r="B19" s="115" t="s">
        <v>26</v>
      </c>
      <c r="C19" s="116" t="s">
        <v>8</v>
      </c>
      <c r="D19" s="116"/>
      <c r="E19" s="116"/>
      <c r="F19" s="117"/>
      <c r="G19" s="117"/>
      <c r="H19" s="117"/>
      <c r="I19" s="291"/>
      <c r="J19" s="117"/>
      <c r="K19" s="189">
        <v>300000</v>
      </c>
      <c r="L19" s="50"/>
      <c r="M19" s="1"/>
    </row>
    <row r="20" spans="1:13" ht="6.75" customHeight="1">
      <c r="A20" s="12"/>
      <c r="B20" s="12"/>
      <c r="C20" s="13"/>
      <c r="D20" s="13"/>
      <c r="E20" s="13"/>
      <c r="F20" s="98"/>
      <c r="G20" s="98"/>
      <c r="H20" s="98"/>
      <c r="I20" s="57"/>
      <c r="J20" s="98"/>
      <c r="K20" s="186"/>
      <c r="L20" s="193"/>
      <c r="M20" s="1"/>
    </row>
    <row r="21" spans="1:12" s="10" customFormat="1" ht="12.75" customHeight="1">
      <c r="A21" s="106">
        <v>4</v>
      </c>
      <c r="B21" s="107"/>
      <c r="C21" s="108" t="s">
        <v>2</v>
      </c>
      <c r="D21" s="108"/>
      <c r="E21" s="108"/>
      <c r="F21" s="109"/>
      <c r="G21" s="109"/>
      <c r="H21" s="109"/>
      <c r="I21" s="289">
        <f>K21/$K$38</f>
        <v>0.2037</v>
      </c>
      <c r="J21" s="109"/>
      <c r="K21" s="187">
        <v>6000000</v>
      </c>
      <c r="L21" s="50"/>
    </row>
    <row r="22" spans="1:13" ht="6.75" customHeight="1">
      <c r="A22" s="3"/>
      <c r="B22" s="5"/>
      <c r="C22" s="1"/>
      <c r="D22" s="1"/>
      <c r="E22" s="1"/>
      <c r="F22" s="98"/>
      <c r="G22" s="98"/>
      <c r="H22" s="98"/>
      <c r="I22" s="57"/>
      <c r="J22" s="98"/>
      <c r="K22" s="186"/>
      <c r="L22" s="48"/>
      <c r="M22" s="1"/>
    </row>
    <row r="23" spans="1:12" s="11" customFormat="1" ht="12.75" customHeight="1">
      <c r="A23" s="106">
        <v>5</v>
      </c>
      <c r="B23" s="107"/>
      <c r="C23" s="108" t="s">
        <v>9</v>
      </c>
      <c r="D23" s="108"/>
      <c r="E23" s="108"/>
      <c r="F23" s="109"/>
      <c r="G23" s="109"/>
      <c r="H23" s="109"/>
      <c r="I23" s="289">
        <f>K23/$K$38</f>
        <v>0.056</v>
      </c>
      <c r="J23" s="109"/>
      <c r="K23" s="188">
        <f>SUM(K24:K26)</f>
        <v>1650000</v>
      </c>
      <c r="L23" s="50"/>
    </row>
    <row r="24" spans="1:13" ht="12.75" customHeight="1">
      <c r="A24" s="114">
        <v>5</v>
      </c>
      <c r="B24" s="116" t="s">
        <v>18</v>
      </c>
      <c r="C24" s="116" t="s">
        <v>94</v>
      </c>
      <c r="D24" s="116"/>
      <c r="E24" s="116"/>
      <c r="F24" s="117"/>
      <c r="G24" s="117"/>
      <c r="H24" s="117"/>
      <c r="I24" s="291"/>
      <c r="J24" s="117"/>
      <c r="K24" s="292">
        <v>600000</v>
      </c>
      <c r="L24" s="50"/>
      <c r="M24" s="1"/>
    </row>
    <row r="25" spans="1:13" ht="12.75" customHeight="1">
      <c r="A25" s="114">
        <v>5</v>
      </c>
      <c r="B25" s="116" t="s">
        <v>20</v>
      </c>
      <c r="C25" s="116" t="s">
        <v>95</v>
      </c>
      <c r="D25" s="116"/>
      <c r="E25" s="116"/>
      <c r="F25" s="117"/>
      <c r="G25" s="117"/>
      <c r="H25" s="117"/>
      <c r="I25" s="291"/>
      <c r="J25" s="117"/>
      <c r="K25" s="292">
        <v>1000000</v>
      </c>
      <c r="L25" s="50"/>
      <c r="M25" s="1"/>
    </row>
    <row r="26" spans="1:13" ht="12.75" customHeight="1">
      <c r="A26" s="114">
        <v>5</v>
      </c>
      <c r="B26" s="116" t="s">
        <v>21</v>
      </c>
      <c r="C26" s="116" t="s">
        <v>46</v>
      </c>
      <c r="D26" s="116"/>
      <c r="E26" s="116"/>
      <c r="F26" s="117"/>
      <c r="G26" s="117"/>
      <c r="H26" s="117"/>
      <c r="I26" s="291"/>
      <c r="J26" s="117"/>
      <c r="K26" s="292">
        <v>50000</v>
      </c>
      <c r="L26" s="50"/>
      <c r="M26" s="1"/>
    </row>
    <row r="27" spans="1:13" ht="6.75" customHeight="1">
      <c r="A27" s="12"/>
      <c r="B27" s="12"/>
      <c r="C27" s="13"/>
      <c r="D27" s="13"/>
      <c r="E27" s="13"/>
      <c r="F27" s="98"/>
      <c r="G27" s="98"/>
      <c r="H27" s="98"/>
      <c r="I27" s="57"/>
      <c r="J27" s="98"/>
      <c r="K27" s="186"/>
      <c r="L27" s="50"/>
      <c r="M27" s="1"/>
    </row>
    <row r="28" spans="1:12" s="10" customFormat="1" ht="12.75" customHeight="1">
      <c r="A28" s="106">
        <v>6</v>
      </c>
      <c r="B28" s="107"/>
      <c r="C28" s="108" t="s">
        <v>3</v>
      </c>
      <c r="D28" s="108"/>
      <c r="E28" s="108"/>
      <c r="F28" s="109"/>
      <c r="G28" s="109"/>
      <c r="H28" s="109"/>
      <c r="I28" s="289">
        <f>K28/$K$38</f>
        <v>0.017</v>
      </c>
      <c r="J28" s="109"/>
      <c r="K28" s="187">
        <v>500000</v>
      </c>
      <c r="L28" s="50"/>
    </row>
    <row r="29" spans="1:13" ht="6.75" customHeight="1">
      <c r="A29" s="16"/>
      <c r="B29" s="4"/>
      <c r="C29" s="1"/>
      <c r="D29" s="1"/>
      <c r="E29" s="1"/>
      <c r="F29" s="100"/>
      <c r="G29" s="100"/>
      <c r="H29" s="100"/>
      <c r="I29" s="293"/>
      <c r="J29" s="100"/>
      <c r="K29" s="186"/>
      <c r="L29" s="50"/>
      <c r="M29" s="1"/>
    </row>
    <row r="30" spans="1:12" s="11" customFormat="1" ht="12.75" customHeight="1">
      <c r="A30" s="106">
        <v>7</v>
      </c>
      <c r="B30" s="107"/>
      <c r="C30" s="108" t="s">
        <v>96</v>
      </c>
      <c r="D30" s="108"/>
      <c r="E30" s="108"/>
      <c r="F30" s="109"/>
      <c r="G30" s="109"/>
      <c r="H30" s="109"/>
      <c r="I30" s="289">
        <f>K30/$K$38</f>
        <v>0.1698</v>
      </c>
      <c r="J30" s="109"/>
      <c r="K30" s="187">
        <v>5000000</v>
      </c>
      <c r="L30" s="50"/>
    </row>
    <row r="31" spans="1:13" ht="6.75" customHeight="1">
      <c r="A31" s="12"/>
      <c r="B31" s="12"/>
      <c r="C31" s="13"/>
      <c r="D31" s="13"/>
      <c r="E31" s="13"/>
      <c r="F31" s="100"/>
      <c r="G31" s="100"/>
      <c r="H31" s="100"/>
      <c r="I31" s="293"/>
      <c r="J31" s="100"/>
      <c r="K31" s="186"/>
      <c r="L31" s="50"/>
      <c r="M31" s="1"/>
    </row>
    <row r="32" spans="1:12" s="11" customFormat="1" ht="12.75" customHeight="1">
      <c r="A32" s="106">
        <v>8</v>
      </c>
      <c r="B32" s="107"/>
      <c r="C32" s="108" t="s">
        <v>75</v>
      </c>
      <c r="D32" s="108"/>
      <c r="E32" s="108"/>
      <c r="F32" s="109"/>
      <c r="G32" s="109"/>
      <c r="H32" s="109"/>
      <c r="I32" s="289">
        <f>K32/$K$38</f>
        <v>0.0012</v>
      </c>
      <c r="J32" s="109"/>
      <c r="K32" s="187">
        <v>36000</v>
      </c>
      <c r="L32" s="50"/>
    </row>
    <row r="33" spans="1:13" ht="6.75" customHeight="1">
      <c r="A33" s="12"/>
      <c r="B33" s="12"/>
      <c r="C33" s="13"/>
      <c r="D33" s="13"/>
      <c r="E33" s="13"/>
      <c r="F33" s="100"/>
      <c r="G33" s="100"/>
      <c r="H33" s="100"/>
      <c r="I33" s="293"/>
      <c r="J33" s="100"/>
      <c r="K33" s="186"/>
      <c r="L33" s="193"/>
      <c r="M33" s="1"/>
    </row>
    <row r="34" spans="1:12" s="11" customFormat="1" ht="12.75" customHeight="1">
      <c r="A34" s="106">
        <v>9</v>
      </c>
      <c r="B34" s="107"/>
      <c r="C34" s="108" t="s">
        <v>10</v>
      </c>
      <c r="D34" s="108"/>
      <c r="E34" s="108"/>
      <c r="F34" s="109"/>
      <c r="G34" s="109"/>
      <c r="H34" s="109"/>
      <c r="I34" s="289">
        <f>K34/$K$38</f>
        <v>0.0543</v>
      </c>
      <c r="J34" s="109"/>
      <c r="K34" s="187">
        <v>1600000</v>
      </c>
      <c r="L34" s="50"/>
    </row>
    <row r="35" spans="1:13" ht="12" customHeight="1">
      <c r="A35" s="16"/>
      <c r="B35" s="4"/>
      <c r="C35" s="1"/>
      <c r="D35" s="1"/>
      <c r="E35" s="1"/>
      <c r="F35" s="47"/>
      <c r="G35" s="47"/>
      <c r="H35" s="47"/>
      <c r="I35" s="47"/>
      <c r="J35" s="47"/>
      <c r="K35" s="48"/>
      <c r="L35" s="1"/>
      <c r="M35" s="1"/>
    </row>
    <row r="36" spans="1:11" ht="15" customHeight="1">
      <c r="A36" s="96" t="s">
        <v>77</v>
      </c>
      <c r="B36" s="90"/>
      <c r="C36" s="90"/>
      <c r="D36" s="90"/>
      <c r="E36" s="90"/>
      <c r="F36" s="101"/>
      <c r="G36" s="101"/>
      <c r="H36" s="101"/>
      <c r="I36" s="294">
        <f>SUM(I5:I32)</f>
        <v>0.9456</v>
      </c>
      <c r="J36" s="101"/>
      <c r="K36" s="123">
        <f>K9+K11+K21</f>
        <v>20650000</v>
      </c>
    </row>
    <row r="37" spans="5:12" ht="4.5" customHeight="1">
      <c r="E37" s="100"/>
      <c r="L37" s="191"/>
    </row>
    <row r="38" spans="1:13" ht="15" customHeight="1">
      <c r="A38" s="96" t="s">
        <v>12</v>
      </c>
      <c r="B38" s="90"/>
      <c r="C38" s="90"/>
      <c r="D38" s="90"/>
      <c r="E38" s="90"/>
      <c r="F38" s="101"/>
      <c r="G38" s="101"/>
      <c r="H38" s="101"/>
      <c r="I38" s="171">
        <f>SUM(I7:I34)</f>
        <v>1</v>
      </c>
      <c r="J38" s="101"/>
      <c r="K38" s="123">
        <f>SUM(K7+K9+K11+K21+K23+K28+K30+K32+K34)</f>
        <v>29451000</v>
      </c>
      <c r="L38" s="31"/>
      <c r="M38" s="1"/>
    </row>
    <row r="39" spans="5:12" ht="12.75" customHeight="1">
      <c r="E39" s="100"/>
      <c r="L39" s="191"/>
    </row>
    <row r="40" spans="1:12" ht="12.75" customHeight="1">
      <c r="A40" s="280" t="s">
        <v>89</v>
      </c>
      <c r="B40" s="281"/>
      <c r="C40" s="282" t="s">
        <v>90</v>
      </c>
      <c r="D40" s="282"/>
      <c r="E40" s="282"/>
      <c r="F40" s="283"/>
      <c r="G40" s="282"/>
      <c r="H40" s="188"/>
      <c r="I40" s="282"/>
      <c r="J40" s="188"/>
      <c r="K40" s="282"/>
      <c r="L40" s="284"/>
    </row>
    <row r="41" spans="1:12" ht="12.75" customHeight="1">
      <c r="A41" s="3"/>
      <c r="B41" s="4"/>
      <c r="C41" s="267" t="s">
        <v>91</v>
      </c>
      <c r="D41" s="267"/>
      <c r="E41" s="267"/>
      <c r="F41" s="1"/>
      <c r="G41" s="469">
        <v>2000</v>
      </c>
      <c r="H41" s="469"/>
      <c r="I41" s="469"/>
      <c r="J41" s="1"/>
      <c r="K41" s="267"/>
      <c r="L41" s="9"/>
    </row>
    <row r="42" spans="1:12" ht="12.75" customHeight="1">
      <c r="A42" s="285"/>
      <c r="B42" s="286"/>
      <c r="C42" s="287" t="s">
        <v>92</v>
      </c>
      <c r="D42" s="287"/>
      <c r="E42" s="287"/>
      <c r="F42" s="288"/>
      <c r="G42" s="470">
        <v>75</v>
      </c>
      <c r="H42" s="470"/>
      <c r="I42" s="470"/>
      <c r="J42" s="1"/>
      <c r="K42" s="267"/>
      <c r="L42" s="9"/>
    </row>
    <row r="43" spans="1:12" ht="12.75" customHeight="1">
      <c r="A43" s="3"/>
      <c r="B43" s="4"/>
      <c r="C43" s="267" t="s">
        <v>93</v>
      </c>
      <c r="D43" s="267"/>
      <c r="E43" s="267"/>
      <c r="F43" s="1"/>
      <c r="G43" s="471">
        <f>G41*G42</f>
        <v>150000</v>
      </c>
      <c r="H43" s="471"/>
      <c r="I43" s="471"/>
      <c r="J43" s="1"/>
      <c r="K43" s="267"/>
      <c r="L43" s="9"/>
    </row>
    <row r="44" spans="5:12" ht="29.25" customHeight="1">
      <c r="E44" s="100"/>
      <c r="L44" s="191"/>
    </row>
    <row r="45" spans="1:13" s="54" customFormat="1" ht="12.75" customHeight="1">
      <c r="A45" s="139" t="s">
        <v>97</v>
      </c>
      <c r="B45" s="12"/>
      <c r="C45" s="102"/>
      <c r="F45" s="55"/>
      <c r="G45" s="55"/>
      <c r="H45" s="55"/>
      <c r="I45" s="55"/>
      <c r="J45" s="55"/>
      <c r="K45" s="149"/>
      <c r="L45" s="192"/>
      <c r="M45" s="56"/>
    </row>
    <row r="46" spans="1:11" s="10" customFormat="1" ht="4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5"/>
    </row>
    <row r="47" s="10" customFormat="1" ht="4.5" customHeight="1">
      <c r="K47" s="2"/>
    </row>
    <row r="48" spans="7:11" s="10" customFormat="1" ht="12.75" customHeight="1">
      <c r="G48" s="190" t="s">
        <v>98</v>
      </c>
      <c r="H48" s="231"/>
      <c r="I48" s="231" t="s">
        <v>99</v>
      </c>
      <c r="J48" s="163"/>
      <c r="K48" s="2"/>
    </row>
    <row r="49" spans="6:11" s="10" customFormat="1" ht="4.5" customHeight="1">
      <c r="F49" s="159"/>
      <c r="G49" s="159"/>
      <c r="H49" s="159"/>
      <c r="K49" s="2"/>
    </row>
    <row r="50" spans="1:13" ht="4.5" customHeight="1">
      <c r="A50" s="3"/>
      <c r="B50" s="5"/>
      <c r="C50" s="1"/>
      <c r="D50" s="1"/>
      <c r="E50" s="98"/>
      <c r="F50" s="98"/>
      <c r="G50" s="57"/>
      <c r="H50" s="98"/>
      <c r="I50" s="232"/>
      <c r="J50" s="195"/>
      <c r="K50" s="152"/>
      <c r="L50" s="196"/>
      <c r="M50" s="150"/>
    </row>
    <row r="51" spans="1:12" s="11" customFormat="1" ht="12.75" customHeight="1">
      <c r="A51" s="154" t="s">
        <v>219</v>
      </c>
      <c r="B51" s="155"/>
      <c r="C51" s="156"/>
      <c r="D51" s="156"/>
      <c r="E51" s="109"/>
      <c r="F51" s="109"/>
      <c r="G51" s="289">
        <f>K51/$K$36</f>
        <v>0.0015</v>
      </c>
      <c r="H51" s="289"/>
      <c r="I51" s="295">
        <f>K51/$K$38</f>
        <v>0.001</v>
      </c>
      <c r="J51" s="194"/>
      <c r="K51" s="157">
        <f>'BPH-Thermisch'!J83</f>
        <v>30689</v>
      </c>
      <c r="L51" s="45"/>
    </row>
    <row r="52" spans="1:13" ht="4.5" customHeight="1">
      <c r="A52" s="54"/>
      <c r="B52" s="54"/>
      <c r="C52" s="1"/>
      <c r="D52" s="1"/>
      <c r="E52" s="100"/>
      <c r="F52" s="100"/>
      <c r="G52" s="170"/>
      <c r="H52" s="100"/>
      <c r="I52" s="233"/>
      <c r="J52" s="195"/>
      <c r="K52" s="151"/>
      <c r="L52" s="31"/>
      <c r="M52" s="150"/>
    </row>
    <row r="53" spans="1:12" s="11" customFormat="1" ht="12.75" customHeight="1">
      <c r="A53" s="154" t="s">
        <v>220</v>
      </c>
      <c r="B53" s="155"/>
      <c r="C53" s="156"/>
      <c r="D53" s="156"/>
      <c r="E53" s="109"/>
      <c r="F53" s="109"/>
      <c r="G53" s="289">
        <f>K53/$K$36</f>
        <v>0.0014</v>
      </c>
      <c r="H53" s="289"/>
      <c r="I53" s="295">
        <f>K53/$K$38</f>
        <v>0.001</v>
      </c>
      <c r="J53" s="194"/>
      <c r="K53" s="157">
        <f>'BPH-Schallschutz'!J83</f>
        <v>29373</v>
      </c>
      <c r="L53" s="31"/>
    </row>
    <row r="54" spans="1:13" ht="4.5" customHeight="1">
      <c r="A54" s="136"/>
      <c r="B54" s="136"/>
      <c r="C54" s="43"/>
      <c r="F54" s="43"/>
      <c r="G54" s="234"/>
      <c r="H54" s="43"/>
      <c r="I54" s="233"/>
      <c r="J54" s="195"/>
      <c r="K54" s="153"/>
      <c r="L54" s="31"/>
      <c r="M54" s="150"/>
    </row>
    <row r="55" spans="1:11" s="11" customFormat="1" ht="12.75" customHeight="1">
      <c r="A55" s="154" t="s">
        <v>221</v>
      </c>
      <c r="B55" s="155"/>
      <c r="C55" s="156"/>
      <c r="D55" s="156"/>
      <c r="E55" s="109"/>
      <c r="F55" s="109"/>
      <c r="G55" s="289">
        <f>K55/$K$36</f>
        <v>0.0004</v>
      </c>
      <c r="H55" s="289"/>
      <c r="I55" s="295">
        <f>K55/$K$38</f>
        <v>0.0003</v>
      </c>
      <c r="J55" s="194"/>
      <c r="K55" s="157">
        <f>'BPH-Raumakustik'!J84</f>
        <v>8534</v>
      </c>
    </row>
    <row r="56" spans="1:13" ht="4.5" customHeight="1">
      <c r="A56" s="3"/>
      <c r="B56" s="5"/>
      <c r="C56" s="1"/>
      <c r="D56" s="1"/>
      <c r="E56" s="98"/>
      <c r="F56" s="98"/>
      <c r="G56" s="57"/>
      <c r="H56" s="57"/>
      <c r="I56" s="296"/>
      <c r="J56" s="195"/>
      <c r="K56" s="151"/>
      <c r="L56" s="197"/>
      <c r="M56" s="150"/>
    </row>
    <row r="57" spans="1:11" s="297" customFormat="1" ht="12.75" customHeight="1">
      <c r="A57" s="154" t="s">
        <v>100</v>
      </c>
      <c r="B57" s="155"/>
      <c r="C57" s="156"/>
      <c r="D57" s="156"/>
      <c r="E57" s="109"/>
      <c r="F57" s="109"/>
      <c r="G57" s="289">
        <f>K57/$K$36</f>
        <v>0</v>
      </c>
      <c r="H57" s="289"/>
      <c r="I57" s="295">
        <f>K57/$K$38</f>
        <v>0</v>
      </c>
      <c r="J57" s="194"/>
      <c r="K57" s="157">
        <f>_Brand</f>
        <v>0</v>
      </c>
    </row>
    <row r="58" spans="11:13" ht="12.75" customHeight="1">
      <c r="K58" s="198"/>
      <c r="L58" s="199"/>
      <c r="M58" s="44"/>
    </row>
    <row r="59" spans="1:13" s="32" customFormat="1" ht="12.75">
      <c r="A59" s="130" t="s">
        <v>78</v>
      </c>
      <c r="B59" s="131"/>
      <c r="C59" s="132"/>
      <c r="D59" s="132"/>
      <c r="E59" s="134"/>
      <c r="F59" s="134"/>
      <c r="G59" s="134"/>
      <c r="H59" s="134"/>
      <c r="I59" s="162"/>
      <c r="J59" s="162"/>
      <c r="K59" s="135">
        <f>SUM(K51:K57)</f>
        <v>68596</v>
      </c>
      <c r="L59" s="83"/>
      <c r="M59" s="84"/>
    </row>
    <row r="60" spans="1:13" s="32" customFormat="1" ht="4.5" customHeight="1">
      <c r="A60" s="33"/>
      <c r="B60" s="34"/>
      <c r="C60" s="34"/>
      <c r="D60" s="66"/>
      <c r="E60" s="67"/>
      <c r="F60" s="67"/>
      <c r="G60" s="67"/>
      <c r="H60" s="67"/>
      <c r="I60" s="68"/>
      <c r="J60" s="68"/>
      <c r="K60" s="124"/>
      <c r="L60" s="36"/>
      <c r="M60" s="85"/>
    </row>
    <row r="61" spans="1:13" s="32" customFormat="1" ht="12.75">
      <c r="A61" s="69" t="s">
        <v>13</v>
      </c>
      <c r="B61" s="33"/>
      <c r="C61" s="34"/>
      <c r="D61" s="34"/>
      <c r="E61" s="77"/>
      <c r="F61" s="77"/>
      <c r="G61" s="77"/>
      <c r="H61" s="77"/>
      <c r="I61" s="158"/>
      <c r="J61" s="158"/>
      <c r="K61" s="125">
        <f>'BPH-Thermisch'!J85+'BPH-Schallschutz'!J85+'BPH-Raumakustik'!J86+Brandschutz!I26</f>
        <v>2744</v>
      </c>
      <c r="L61" s="86"/>
      <c r="M61" s="85"/>
    </row>
    <row r="62" spans="1:13" s="32" customFormat="1" ht="3" customHeight="1">
      <c r="A62" s="70"/>
      <c r="B62" s="71"/>
      <c r="C62" s="72"/>
      <c r="D62" s="72"/>
      <c r="E62" s="79"/>
      <c r="F62" s="79"/>
      <c r="G62" s="79"/>
      <c r="H62" s="79"/>
      <c r="I62" s="160"/>
      <c r="J62" s="164"/>
      <c r="K62" s="126"/>
      <c r="L62" s="36"/>
      <c r="M62" s="85"/>
    </row>
    <row r="63" spans="1:13" s="32" customFormat="1" ht="3" customHeight="1">
      <c r="A63" s="33"/>
      <c r="B63" s="34"/>
      <c r="C63" s="34"/>
      <c r="D63" s="81"/>
      <c r="E63" s="81"/>
      <c r="F63" s="81"/>
      <c r="G63" s="81"/>
      <c r="H63" s="81"/>
      <c r="I63" s="161"/>
      <c r="J63" s="165"/>
      <c r="K63" s="124"/>
      <c r="L63" s="36"/>
      <c r="M63" s="85"/>
    </row>
    <row r="64" spans="1:13" s="32" customFormat="1" ht="12.75">
      <c r="A64" s="74" t="s">
        <v>79</v>
      </c>
      <c r="B64" s="76"/>
      <c r="C64" s="76"/>
      <c r="D64" s="35"/>
      <c r="E64" s="35"/>
      <c r="F64" s="176"/>
      <c r="G64" s="176"/>
      <c r="H64" s="174"/>
      <c r="I64" s="175"/>
      <c r="J64" s="165"/>
      <c r="K64" s="127">
        <f>K59+K61</f>
        <v>71340</v>
      </c>
      <c r="L64" s="87"/>
      <c r="M64" s="88"/>
    </row>
    <row r="65" spans="2:13" s="32" customFormat="1" ht="4.5" customHeight="1">
      <c r="B65" s="76"/>
      <c r="C65" s="76"/>
      <c r="D65" s="35"/>
      <c r="E65" s="35"/>
      <c r="F65" s="35"/>
      <c r="G65" s="35"/>
      <c r="H65" s="35"/>
      <c r="I65" s="78"/>
      <c r="J65" s="78"/>
      <c r="K65" s="127"/>
      <c r="L65" s="87"/>
      <c r="M65" s="88"/>
    </row>
    <row r="66" spans="1:13" s="32" customFormat="1" ht="12.75">
      <c r="A66" s="32" t="s">
        <v>14</v>
      </c>
      <c r="C66" s="34"/>
      <c r="D66" s="73"/>
      <c r="E66" s="73"/>
      <c r="F66" s="73"/>
      <c r="G66" s="73"/>
      <c r="H66" s="73"/>
      <c r="I66" s="158">
        <v>0.2</v>
      </c>
      <c r="J66" s="158"/>
      <c r="K66" s="128">
        <f>ROUND(K64*I66,2)</f>
        <v>14268</v>
      </c>
      <c r="L66" s="36"/>
      <c r="M66" s="89"/>
    </row>
    <row r="67" spans="1:13" s="32" customFormat="1" ht="3" customHeight="1">
      <c r="A67" s="37"/>
      <c r="B67" s="80"/>
      <c r="C67" s="80"/>
      <c r="D67" s="73"/>
      <c r="E67" s="73"/>
      <c r="F67" s="73"/>
      <c r="G67" s="73"/>
      <c r="H67" s="73"/>
      <c r="I67" s="68"/>
      <c r="J67" s="68"/>
      <c r="K67" s="129"/>
      <c r="L67" s="36"/>
      <c r="M67" s="85"/>
    </row>
    <row r="68" spans="1:13" s="32" customFormat="1" ht="12.75">
      <c r="A68" s="253" t="s">
        <v>80</v>
      </c>
      <c r="B68" s="255"/>
      <c r="C68" s="255"/>
      <c r="D68" s="256"/>
      <c r="E68" s="257"/>
      <c r="F68" s="257"/>
      <c r="G68" s="257"/>
      <c r="H68" s="257"/>
      <c r="I68" s="258"/>
      <c r="J68" s="258"/>
      <c r="K68" s="259">
        <f>SUM(K65:K66)</f>
        <v>14268</v>
      </c>
      <c r="L68" s="87"/>
      <c r="M68" s="88"/>
    </row>
    <row r="69" spans="2:13" s="32" customFormat="1" ht="4.5" customHeight="1">
      <c r="B69" s="34"/>
      <c r="C69" s="34"/>
      <c r="D69" s="66"/>
      <c r="E69" s="67"/>
      <c r="F69" s="67"/>
      <c r="G69" s="67"/>
      <c r="H69" s="67"/>
      <c r="I69" s="68"/>
      <c r="J69" s="68"/>
      <c r="K69" s="124"/>
      <c r="L69" s="36"/>
      <c r="M69" s="85"/>
    </row>
    <row r="70" spans="1:13" ht="15">
      <c r="A70" s="260" t="s">
        <v>84</v>
      </c>
      <c r="C70" s="6"/>
      <c r="D70" s="7"/>
      <c r="F70" s="43"/>
      <c r="H70" s="472">
        <f>K64/_1_9</f>
        <v>0.002422</v>
      </c>
      <c r="I70" s="472"/>
      <c r="J70" s="9"/>
      <c r="L70" s="44"/>
      <c r="M70" s="44"/>
    </row>
  </sheetData>
  <sheetProtection password="D2DC" sheet="1"/>
  <mergeCells count="4">
    <mergeCell ref="G41:I41"/>
    <mergeCell ref="G42:I42"/>
    <mergeCell ref="G43:I43"/>
    <mergeCell ref="H70:I70"/>
  </mergeCell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4" r:id="rId1"/>
  <headerFooter>
    <oddHeader>&amp;L&amp;"Arial,Fett"&amp;K01+034Angebot Bauphysik + Brandschutz &amp;A
&amp;"Arial,Standard"nach VM.BP.2014&amp;R&amp;"Arial,Standard"&amp;K01+035Version 5
Stand: 07.01.2020</oddHeader>
    <oddFooter>&amp;L&amp;"Arial,Fett"&amp;K01+040LM.VM.2014 &amp;"Arial,Standard" |  Bauphysik &amp;A  |  Angebotsformular&amp;R&amp;"Arial,Standard"&amp;K01+040&amp;P/&amp;N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93"/>
  <sheetViews>
    <sheetView showGridLines="0" zoomScale="85" zoomScaleNormal="85" zoomScaleSheetLayoutView="85" zoomScalePageLayoutView="85" workbookViewId="0" topLeftCell="A34">
      <selection activeCell="F5" sqref="F5:G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28125" style="6" customWidth="1"/>
    <col min="4" max="4" width="33.7109375" style="7" customWidth="1"/>
    <col min="5" max="5" width="8.7109375" style="43" customWidth="1"/>
    <col min="6" max="6" width="6.7109375" style="43" customWidth="1"/>
    <col min="7" max="7" width="15.7109375" style="7" customWidth="1"/>
    <col min="8" max="8" width="11.7109375" style="43" customWidth="1"/>
    <col min="9" max="9" width="7.7109375" style="8" customWidth="1" collapsed="1"/>
    <col min="10" max="10" width="15.7109375" style="9" customWidth="1"/>
    <col min="11" max="11" width="2.7109375" style="59" customWidth="1"/>
    <col min="12" max="16384" width="11.57421875" style="1" customWidth="1"/>
  </cols>
  <sheetData>
    <row r="1" ht="4.5" customHeight="1"/>
    <row r="2" spans="1:11" s="54" customFormat="1" ht="34.5" customHeight="1">
      <c r="A2" s="139" t="s">
        <v>81</v>
      </c>
      <c r="C2" s="12"/>
      <c r="D2" s="102"/>
      <c r="G2" s="55"/>
      <c r="H2" s="55"/>
      <c r="I2" s="474" t="s">
        <v>71</v>
      </c>
      <c r="J2" s="474"/>
      <c r="K2" s="62"/>
    </row>
    <row r="3" spans="1:11" s="10" customFormat="1" ht="6" customHeight="1">
      <c r="A3" s="104"/>
      <c r="B3" s="104"/>
      <c r="C3" s="104"/>
      <c r="D3" s="104"/>
      <c r="E3" s="104"/>
      <c r="F3" s="104"/>
      <c r="G3" s="104"/>
      <c r="H3" s="104"/>
      <c r="I3" s="104"/>
      <c r="J3" s="105"/>
      <c r="K3" s="2"/>
    </row>
    <row r="4" spans="10:11" s="10" customFormat="1" ht="6" customHeight="1">
      <c r="J4" s="2"/>
      <c r="K4" s="2"/>
    </row>
    <row r="5" spans="6:11" s="10" customFormat="1" ht="12.75" customHeight="1">
      <c r="F5" s="99" t="s">
        <v>66</v>
      </c>
      <c r="G5" s="45" t="s">
        <v>44</v>
      </c>
      <c r="H5" s="45"/>
      <c r="I5" s="15" t="s">
        <v>17</v>
      </c>
      <c r="J5" s="122" t="s">
        <v>45</v>
      </c>
      <c r="K5" s="45"/>
    </row>
    <row r="6" spans="7:11" s="10" customFormat="1" ht="6" customHeight="1">
      <c r="G6" s="97"/>
      <c r="J6" s="2"/>
      <c r="K6" s="2"/>
    </row>
    <row r="7" spans="1:11" s="11" customFormat="1" ht="12.75" customHeight="1">
      <c r="A7" s="475">
        <v>1</v>
      </c>
      <c r="B7" s="475"/>
      <c r="C7" s="107"/>
      <c r="D7" s="108" t="s">
        <v>0</v>
      </c>
      <c r="E7" s="108"/>
      <c r="F7" s="166">
        <f>G7/$G$36</f>
        <v>0.001</v>
      </c>
      <c r="G7" s="182">
        <f>_1</f>
        <v>15000</v>
      </c>
      <c r="H7" s="103"/>
      <c r="I7" s="140">
        <v>0</v>
      </c>
      <c r="J7" s="182">
        <f>G7*I7</f>
        <v>0</v>
      </c>
      <c r="K7" s="50"/>
    </row>
    <row r="8" spans="2:11" ht="6.75" customHeight="1">
      <c r="B8" s="3"/>
      <c r="C8" s="5"/>
      <c r="D8" s="1"/>
      <c r="E8" s="1"/>
      <c r="F8" s="167"/>
      <c r="G8" s="177"/>
      <c r="H8" s="1"/>
      <c r="I8" s="137"/>
      <c r="J8" s="177"/>
      <c r="K8" s="63"/>
    </row>
    <row r="9" spans="1:11" s="11" customFormat="1" ht="12.75" customHeight="1">
      <c r="A9" s="475">
        <v>2</v>
      </c>
      <c r="B9" s="475"/>
      <c r="C9" s="107"/>
      <c r="D9" s="108" t="s">
        <v>1</v>
      </c>
      <c r="E9" s="108"/>
      <c r="F9" s="166">
        <f>G9/$G$36</f>
        <v>0.306</v>
      </c>
      <c r="G9" s="182">
        <f>_2</f>
        <v>9000000</v>
      </c>
      <c r="H9" s="103"/>
      <c r="I9" s="141">
        <v>1</v>
      </c>
      <c r="J9" s="182">
        <f>G9*I9</f>
        <v>9000000</v>
      </c>
      <c r="K9" s="50"/>
    </row>
    <row r="10" spans="2:11" ht="6.75" customHeight="1">
      <c r="B10" s="12"/>
      <c r="C10" s="12"/>
      <c r="D10" s="13"/>
      <c r="E10" s="13"/>
      <c r="F10" s="167"/>
      <c r="G10" s="305"/>
      <c r="H10" s="1"/>
      <c r="I10" s="137"/>
      <c r="J10" s="178"/>
      <c r="K10" s="50"/>
    </row>
    <row r="11" spans="1:11" s="10" customFormat="1" ht="12.75" customHeight="1">
      <c r="A11" s="475">
        <v>3</v>
      </c>
      <c r="B11" s="475"/>
      <c r="C11" s="107"/>
      <c r="D11" s="108" t="s">
        <v>7</v>
      </c>
      <c r="E11" s="108"/>
      <c r="F11" s="166">
        <f>G11/$G$36</f>
        <v>0.192</v>
      </c>
      <c r="G11" s="183">
        <f>_3</f>
        <v>5650000</v>
      </c>
      <c r="H11" s="103"/>
      <c r="I11" s="143"/>
      <c r="J11" s="151"/>
      <c r="K11" s="50"/>
    </row>
    <row r="12" spans="1:11" ht="12.75" customHeight="1">
      <c r="A12" s="476">
        <v>3</v>
      </c>
      <c r="B12" s="476"/>
      <c r="C12" s="111" t="s">
        <v>18</v>
      </c>
      <c r="D12" s="112" t="s">
        <v>19</v>
      </c>
      <c r="E12" s="112"/>
      <c r="F12" s="168"/>
      <c r="G12" s="179">
        <f>_3.01</f>
        <v>900000</v>
      </c>
      <c r="H12" s="103"/>
      <c r="I12" s="141">
        <v>1</v>
      </c>
      <c r="J12" s="184">
        <f aca="true" t="shared" si="0" ref="J12:J19">G12*I12</f>
        <v>900000</v>
      </c>
      <c r="K12" s="50"/>
    </row>
    <row r="13" spans="1:11" ht="12.75" customHeight="1">
      <c r="A13" s="473">
        <v>3</v>
      </c>
      <c r="B13" s="473"/>
      <c r="C13" s="115" t="s">
        <v>20</v>
      </c>
      <c r="D13" s="116" t="s">
        <v>27</v>
      </c>
      <c r="E13" s="116"/>
      <c r="F13" s="169"/>
      <c r="G13" s="180">
        <f>_3.02</f>
        <v>1200000</v>
      </c>
      <c r="H13" s="103"/>
      <c r="I13" s="141">
        <v>1</v>
      </c>
      <c r="J13" s="235">
        <f t="shared" si="0"/>
        <v>1200000</v>
      </c>
      <c r="K13" s="50"/>
    </row>
    <row r="14" spans="1:11" ht="12.75" customHeight="1">
      <c r="A14" s="473">
        <v>3</v>
      </c>
      <c r="B14" s="473"/>
      <c r="C14" s="115" t="s">
        <v>21</v>
      </c>
      <c r="D14" s="116" t="s">
        <v>28</v>
      </c>
      <c r="E14" s="116"/>
      <c r="F14" s="169"/>
      <c r="G14" s="181">
        <f>_3.03</f>
        <v>1000000</v>
      </c>
      <c r="H14" s="103"/>
      <c r="I14" s="141">
        <v>1</v>
      </c>
      <c r="J14" s="235">
        <f t="shared" si="0"/>
        <v>1000000</v>
      </c>
      <c r="K14" s="50"/>
    </row>
    <row r="15" spans="1:11" ht="12.75" customHeight="1">
      <c r="A15" s="473">
        <v>3</v>
      </c>
      <c r="B15" s="473"/>
      <c r="C15" s="115" t="s">
        <v>22</v>
      </c>
      <c r="D15" s="116" t="s">
        <v>29</v>
      </c>
      <c r="E15" s="116"/>
      <c r="F15" s="169"/>
      <c r="G15" s="181">
        <f>_3.04</f>
        <v>1500000</v>
      </c>
      <c r="H15" s="103"/>
      <c r="I15" s="141">
        <v>1</v>
      </c>
      <c r="J15" s="235">
        <f t="shared" si="0"/>
        <v>1500000</v>
      </c>
      <c r="K15" s="50"/>
    </row>
    <row r="16" spans="1:11" ht="12.75" customHeight="1">
      <c r="A16" s="473">
        <v>3</v>
      </c>
      <c r="B16" s="473"/>
      <c r="C16" s="115" t="s">
        <v>23</v>
      </c>
      <c r="D16" s="116" t="s">
        <v>32</v>
      </c>
      <c r="E16" s="116"/>
      <c r="F16" s="169"/>
      <c r="G16" s="181">
        <f>_3.05</f>
        <v>600000</v>
      </c>
      <c r="H16" s="103"/>
      <c r="I16" s="141">
        <v>1</v>
      </c>
      <c r="J16" s="235">
        <f t="shared" si="0"/>
        <v>600000</v>
      </c>
      <c r="K16" s="50"/>
    </row>
    <row r="17" spans="1:11" ht="12.75" customHeight="1">
      <c r="A17" s="473">
        <v>3</v>
      </c>
      <c r="B17" s="473"/>
      <c r="C17" s="115" t="s">
        <v>24</v>
      </c>
      <c r="D17" s="116" t="s">
        <v>30</v>
      </c>
      <c r="E17" s="116"/>
      <c r="F17" s="169"/>
      <c r="G17" s="181">
        <f>_3.06</f>
        <v>150000</v>
      </c>
      <c r="H17" s="103"/>
      <c r="I17" s="141">
        <v>1</v>
      </c>
      <c r="J17" s="235">
        <f t="shared" si="0"/>
        <v>150000</v>
      </c>
      <c r="K17" s="50"/>
    </row>
    <row r="18" spans="1:11" ht="12.75" customHeight="1">
      <c r="A18" s="473">
        <v>3</v>
      </c>
      <c r="B18" s="473"/>
      <c r="C18" s="115" t="s">
        <v>25</v>
      </c>
      <c r="D18" s="116" t="s">
        <v>31</v>
      </c>
      <c r="E18" s="116"/>
      <c r="F18" s="169"/>
      <c r="G18" s="181">
        <f>_3.07</f>
        <v>0</v>
      </c>
      <c r="H18" s="103"/>
      <c r="I18" s="141">
        <v>0</v>
      </c>
      <c r="J18" s="235">
        <f t="shared" si="0"/>
        <v>0</v>
      </c>
      <c r="K18" s="50"/>
    </row>
    <row r="19" spans="1:11" ht="12.75" customHeight="1">
      <c r="A19" s="473">
        <v>3</v>
      </c>
      <c r="B19" s="473"/>
      <c r="C19" s="115" t="s">
        <v>26</v>
      </c>
      <c r="D19" s="116" t="s">
        <v>8</v>
      </c>
      <c r="E19" s="116"/>
      <c r="F19" s="169"/>
      <c r="G19" s="181">
        <f>_3.08</f>
        <v>300000</v>
      </c>
      <c r="H19" s="103"/>
      <c r="I19" s="141">
        <v>1</v>
      </c>
      <c r="J19" s="236">
        <f t="shared" si="0"/>
        <v>300000</v>
      </c>
      <c r="K19" s="50"/>
    </row>
    <row r="20" spans="2:11" ht="6.75" customHeight="1">
      <c r="B20" s="12"/>
      <c r="C20" s="12"/>
      <c r="D20" s="13"/>
      <c r="E20" s="13"/>
      <c r="F20" s="167"/>
      <c r="G20" s="151"/>
      <c r="H20" s="1"/>
      <c r="I20" s="142"/>
      <c r="J20" s="151"/>
      <c r="K20" s="49"/>
    </row>
    <row r="21" spans="1:11" s="10" customFormat="1" ht="12.75" customHeight="1">
      <c r="A21" s="475">
        <v>4</v>
      </c>
      <c r="B21" s="475"/>
      <c r="C21" s="107"/>
      <c r="D21" s="108" t="s">
        <v>2</v>
      </c>
      <c r="E21" s="108"/>
      <c r="F21" s="166">
        <f>G21/$G$36</f>
        <v>0.204</v>
      </c>
      <c r="G21" s="182">
        <f>_4</f>
        <v>6000000</v>
      </c>
      <c r="H21" s="103"/>
      <c r="I21" s="141">
        <v>1</v>
      </c>
      <c r="J21" s="182">
        <f>G21*I21</f>
        <v>6000000</v>
      </c>
      <c r="K21" s="50"/>
    </row>
    <row r="22" spans="2:11" ht="6.75" customHeight="1">
      <c r="B22" s="3"/>
      <c r="C22" s="5"/>
      <c r="D22" s="1"/>
      <c r="E22" s="1"/>
      <c r="F22" s="167"/>
      <c r="G22" s="151"/>
      <c r="H22" s="1"/>
      <c r="I22" s="143"/>
      <c r="J22" s="151"/>
      <c r="K22" s="48"/>
    </row>
    <row r="23" spans="1:11" s="11" customFormat="1" ht="12.75" customHeight="1">
      <c r="A23" s="475">
        <v>5</v>
      </c>
      <c r="B23" s="475"/>
      <c r="C23" s="107"/>
      <c r="D23" s="108" t="s">
        <v>9</v>
      </c>
      <c r="E23" s="108"/>
      <c r="F23" s="166">
        <f>G23/$G$36</f>
        <v>0.056</v>
      </c>
      <c r="G23" s="184">
        <f>_5</f>
        <v>1650000</v>
      </c>
      <c r="H23" s="103"/>
      <c r="I23" s="143"/>
      <c r="J23" s="237"/>
      <c r="K23" s="50"/>
    </row>
    <row r="24" spans="1:14" ht="12.75" customHeight="1">
      <c r="A24" s="476">
        <v>5</v>
      </c>
      <c r="B24" s="476"/>
      <c r="C24" s="118" t="s">
        <v>18</v>
      </c>
      <c r="D24" s="119" t="s">
        <v>94</v>
      </c>
      <c r="E24" s="119"/>
      <c r="F24" s="168"/>
      <c r="G24" s="180">
        <f>_5.01</f>
        <v>600000</v>
      </c>
      <c r="H24" s="103"/>
      <c r="I24" s="302">
        <v>1</v>
      </c>
      <c r="J24" s="235">
        <f>I24*G24</f>
        <v>600000</v>
      </c>
      <c r="K24" s="50"/>
      <c r="L24" s="303"/>
      <c r="M24"/>
      <c r="N24"/>
    </row>
    <row r="25" spans="1:14" ht="12.75" customHeight="1">
      <c r="A25" s="477">
        <v>5</v>
      </c>
      <c r="B25" s="477"/>
      <c r="C25" s="120" t="s">
        <v>20</v>
      </c>
      <c r="D25" s="300" t="s">
        <v>95</v>
      </c>
      <c r="E25" s="300"/>
      <c r="F25" s="301"/>
      <c r="G25" s="180">
        <f>_5.02</f>
        <v>1000000</v>
      </c>
      <c r="H25" s="103"/>
      <c r="I25" s="302">
        <v>0.6</v>
      </c>
      <c r="J25" s="235">
        <f>G25*I25</f>
        <v>600000</v>
      </c>
      <c r="K25" s="50"/>
      <c r="L25" s="303"/>
      <c r="M25"/>
      <c r="N25"/>
    </row>
    <row r="26" spans="1:14" ht="12.75" customHeight="1">
      <c r="A26" s="477">
        <v>5</v>
      </c>
      <c r="B26" s="477"/>
      <c r="C26" s="120" t="s">
        <v>21</v>
      </c>
      <c r="D26" s="121" t="s">
        <v>46</v>
      </c>
      <c r="E26" s="121"/>
      <c r="F26" s="169"/>
      <c r="G26" s="180">
        <f>_5.03</f>
        <v>50000</v>
      </c>
      <c r="H26" s="2"/>
      <c r="I26" s="302">
        <v>0</v>
      </c>
      <c r="J26" s="235">
        <f>G26*I26</f>
        <v>0</v>
      </c>
      <c r="K26" s="50"/>
      <c r="L26" s="303"/>
      <c r="M26"/>
      <c r="N26"/>
    </row>
    <row r="27" spans="2:11" ht="6.75" customHeight="1">
      <c r="B27" s="12"/>
      <c r="C27" s="12"/>
      <c r="D27" s="13"/>
      <c r="E27" s="13"/>
      <c r="F27" s="167"/>
      <c r="G27" s="178"/>
      <c r="H27" s="1"/>
      <c r="I27" s="137"/>
      <c r="J27" s="178"/>
      <c r="K27" s="50"/>
    </row>
    <row r="28" spans="1:11" s="10" customFormat="1" ht="12.75" customHeight="1">
      <c r="A28" s="475">
        <v>6</v>
      </c>
      <c r="B28" s="475"/>
      <c r="C28" s="107"/>
      <c r="D28" s="108" t="s">
        <v>3</v>
      </c>
      <c r="E28" s="108"/>
      <c r="F28" s="166">
        <f>G28/$G$36</f>
        <v>0.017</v>
      </c>
      <c r="G28" s="182">
        <f>_6</f>
        <v>500000</v>
      </c>
      <c r="H28" s="103"/>
      <c r="I28" s="141">
        <v>0</v>
      </c>
      <c r="J28" s="182">
        <f>G28*I28</f>
        <v>0</v>
      </c>
      <c r="K28" s="50"/>
    </row>
    <row r="29" spans="2:11" ht="6.75" customHeight="1">
      <c r="B29" s="16"/>
      <c r="C29" s="4"/>
      <c r="D29" s="1"/>
      <c r="E29" s="1"/>
      <c r="F29" s="170"/>
      <c r="G29" s="151"/>
      <c r="H29" s="1"/>
      <c r="I29" s="143"/>
      <c r="J29" s="151"/>
      <c r="K29" s="50"/>
    </row>
    <row r="30" spans="1:11" s="11" customFormat="1" ht="12.75" customHeight="1">
      <c r="A30" s="475">
        <v>7</v>
      </c>
      <c r="B30" s="475"/>
      <c r="C30" s="107"/>
      <c r="D30" s="108" t="s">
        <v>87</v>
      </c>
      <c r="E30" s="108"/>
      <c r="F30" s="166">
        <f>G30/$G$36</f>
        <v>0.17</v>
      </c>
      <c r="G30" s="182">
        <f>_7</f>
        <v>5000000</v>
      </c>
      <c r="H30" s="103"/>
      <c r="I30" s="141">
        <v>0</v>
      </c>
      <c r="J30" s="182">
        <f>G30*I30</f>
        <v>0</v>
      </c>
      <c r="K30" s="50"/>
    </row>
    <row r="31" spans="2:11" ht="6.75" customHeight="1">
      <c r="B31" s="12"/>
      <c r="C31" s="12"/>
      <c r="D31" s="13"/>
      <c r="E31" s="13"/>
      <c r="F31" s="170"/>
      <c r="G31" s="178"/>
      <c r="H31" s="1"/>
      <c r="I31" s="137"/>
      <c r="J31" s="178"/>
      <c r="K31" s="50"/>
    </row>
    <row r="32" spans="1:11" s="11" customFormat="1" ht="12.75" customHeight="1">
      <c r="A32" s="475">
        <v>8</v>
      </c>
      <c r="B32" s="475"/>
      <c r="C32" s="107"/>
      <c r="D32" s="108" t="s">
        <v>82</v>
      </c>
      <c r="E32" s="108"/>
      <c r="F32" s="166">
        <f>G32/$G$36</f>
        <v>0.001</v>
      </c>
      <c r="G32" s="182">
        <f>_8</f>
        <v>36000</v>
      </c>
      <c r="H32" s="103"/>
      <c r="I32" s="141">
        <v>0</v>
      </c>
      <c r="J32" s="182">
        <f>G32*I32</f>
        <v>0</v>
      </c>
      <c r="K32" s="50"/>
    </row>
    <row r="33" spans="2:11" ht="6.75" customHeight="1">
      <c r="B33" s="12"/>
      <c r="C33" s="12"/>
      <c r="D33" s="13"/>
      <c r="E33" s="13"/>
      <c r="F33" s="170"/>
      <c r="G33" s="151"/>
      <c r="H33" s="1"/>
      <c r="I33" s="142"/>
      <c r="J33" s="151"/>
      <c r="K33" s="49"/>
    </row>
    <row r="34" spans="1:11" s="11" customFormat="1" ht="12.75" customHeight="1">
      <c r="A34" s="475">
        <v>9</v>
      </c>
      <c r="B34" s="475"/>
      <c r="C34" s="107"/>
      <c r="D34" s="108" t="s">
        <v>10</v>
      </c>
      <c r="E34" s="108"/>
      <c r="F34" s="166">
        <f>G34/$G$36</f>
        <v>0.054</v>
      </c>
      <c r="G34" s="182">
        <f>_9</f>
        <v>1600000</v>
      </c>
      <c r="H34" s="103"/>
      <c r="I34" s="141">
        <v>0.1</v>
      </c>
      <c r="J34" s="182">
        <f>G34*I34</f>
        <v>160000</v>
      </c>
      <c r="K34" s="50"/>
    </row>
    <row r="35" spans="2:11" ht="12" customHeight="1">
      <c r="B35" s="16"/>
      <c r="C35" s="4"/>
      <c r="D35" s="1"/>
      <c r="E35" s="1"/>
      <c r="F35" s="47"/>
      <c r="G35" s="1"/>
      <c r="H35" s="1"/>
      <c r="I35" s="1"/>
      <c r="J35" s="1"/>
      <c r="K35" s="1"/>
    </row>
    <row r="36" spans="1:11" ht="12.75" customHeight="1">
      <c r="A36" s="262" t="s">
        <v>12</v>
      </c>
      <c r="B36" s="263"/>
      <c r="C36" s="263"/>
      <c r="D36" s="263"/>
      <c r="E36" s="90"/>
      <c r="F36" s="306">
        <f>SUM(F7:F34)</f>
        <v>1</v>
      </c>
      <c r="G36" s="123">
        <f>_EK</f>
        <v>29451000</v>
      </c>
      <c r="H36" s="91"/>
      <c r="I36" s="230"/>
      <c r="J36" s="31"/>
      <c r="K36" s="31"/>
    </row>
    <row r="37" spans="2:11" ht="6" customHeight="1">
      <c r="B37" s="304"/>
      <c r="C37" s="12"/>
      <c r="D37" s="13"/>
      <c r="E37" s="1"/>
      <c r="F37" s="47"/>
      <c r="G37" s="13"/>
      <c r="H37" s="14"/>
      <c r="I37" s="1"/>
      <c r="J37" s="1"/>
      <c r="K37" s="1"/>
    </row>
    <row r="38" spans="1:10" s="10" customFormat="1" ht="12.75" customHeight="1">
      <c r="A38" s="475"/>
      <c r="B38" s="475"/>
      <c r="C38" s="107" t="s">
        <v>101</v>
      </c>
      <c r="D38" s="108"/>
      <c r="E38" s="289"/>
      <c r="F38" s="166"/>
      <c r="G38" s="182">
        <f>_mvB</f>
        <v>150000</v>
      </c>
      <c r="H38" s="103"/>
      <c r="I38" s="302">
        <v>1</v>
      </c>
      <c r="J38" s="182">
        <f>G38*I38</f>
        <v>150000</v>
      </c>
    </row>
    <row r="39" spans="2:11" ht="6" customHeight="1">
      <c r="B39" s="12"/>
      <c r="C39" s="12"/>
      <c r="D39" s="13"/>
      <c r="E39" s="1"/>
      <c r="F39" s="47"/>
      <c r="G39" s="13"/>
      <c r="H39" s="1"/>
      <c r="I39" s="18"/>
      <c r="J39" s="14"/>
      <c r="K39" s="17"/>
    </row>
    <row r="40" spans="1:11" s="19" customFormat="1" ht="12.75" customHeight="1">
      <c r="A40" s="264" t="s">
        <v>33</v>
      </c>
      <c r="B40" s="265"/>
      <c r="C40" s="265"/>
      <c r="D40" s="265"/>
      <c r="E40" s="238"/>
      <c r="F40" s="238"/>
      <c r="G40" s="238"/>
      <c r="H40" s="238"/>
      <c r="I40" s="239"/>
      <c r="J40" s="240">
        <f>SUM(J7:J38)</f>
        <v>22160000</v>
      </c>
      <c r="K40" s="64"/>
    </row>
    <row r="41" spans="2:11" s="21" customFormat="1" ht="12.75" customHeight="1">
      <c r="B41" s="23"/>
      <c r="C41" s="23"/>
      <c r="D41" s="22"/>
      <c r="E41" s="46"/>
      <c r="F41" s="46"/>
      <c r="G41" s="22"/>
      <c r="H41" s="46"/>
      <c r="I41" s="200"/>
      <c r="J41" s="200"/>
      <c r="K41" s="30"/>
    </row>
    <row r="42" spans="2:10" ht="9" customHeight="1">
      <c r="B42" s="20"/>
      <c r="J42" s="309"/>
    </row>
    <row r="43" spans="1:10" ht="6" customHeight="1">
      <c r="A43" s="203"/>
      <c r="B43" s="203"/>
      <c r="C43" s="203"/>
      <c r="D43" s="223"/>
      <c r="E43" s="229"/>
      <c r="F43" s="229"/>
      <c r="G43" s="223"/>
      <c r="H43" s="229"/>
      <c r="J43" s="310"/>
    </row>
    <row r="44" spans="1:11" ht="12.75" customHeight="1">
      <c r="A44" s="201" t="s">
        <v>51</v>
      </c>
      <c r="B44" s="201"/>
      <c r="C44" s="201"/>
      <c r="D44" s="202"/>
      <c r="E44" s="202"/>
      <c r="F44" s="202"/>
      <c r="G44" s="202"/>
      <c r="H44" s="202"/>
      <c r="I44" s="201"/>
      <c r="J44" s="311"/>
      <c r="K44" s="308"/>
    </row>
    <row r="45" spans="1:10" ht="6.75" customHeight="1">
      <c r="A45" s="203"/>
      <c r="B45" s="203"/>
      <c r="C45" s="203"/>
      <c r="D45" s="203"/>
      <c r="E45" s="204"/>
      <c r="F45" s="204"/>
      <c r="G45" s="203"/>
      <c r="H45" s="204"/>
      <c r="J45" s="310"/>
    </row>
    <row r="46" spans="1:11" ht="12.75" customHeight="1">
      <c r="A46" s="205" t="s">
        <v>67</v>
      </c>
      <c r="B46" s="206"/>
      <c r="C46" s="206"/>
      <c r="D46" s="206"/>
      <c r="E46" s="206"/>
      <c r="F46" s="206"/>
      <c r="G46" s="206"/>
      <c r="H46" s="206"/>
      <c r="I46" s="57"/>
      <c r="J46" s="310"/>
      <c r="K46" s="17"/>
    </row>
    <row r="47" spans="1:11" ht="12.75" customHeight="1">
      <c r="A47" s="25"/>
      <c r="B47" s="25"/>
      <c r="C47" s="25"/>
      <c r="D47" s="1"/>
      <c r="E47" s="1"/>
      <c r="F47" s="1"/>
      <c r="G47" s="207" t="s">
        <v>5</v>
      </c>
      <c r="H47" s="208" t="s">
        <v>4</v>
      </c>
      <c r="J47" s="312"/>
      <c r="K47" s="58"/>
    </row>
    <row r="48" spans="2:11" ht="12.75" customHeight="1">
      <c r="B48" s="26" t="s">
        <v>40</v>
      </c>
      <c r="C48" s="60"/>
      <c r="D48" s="51"/>
      <c r="E48" s="51"/>
      <c r="F48" s="51"/>
      <c r="G48" s="144">
        <v>22</v>
      </c>
      <c r="H48" s="209" t="s">
        <v>49</v>
      </c>
      <c r="I48" s="18"/>
      <c r="J48" s="312"/>
      <c r="K48" s="58"/>
    </row>
    <row r="49" spans="2:11" ht="12.75" customHeight="1">
      <c r="B49" s="27" t="s">
        <v>41</v>
      </c>
      <c r="C49" s="61"/>
      <c r="D49" s="52"/>
      <c r="E49" s="52"/>
      <c r="F49" s="52"/>
      <c r="G49" s="145">
        <v>2</v>
      </c>
      <c r="H49" s="210" t="s">
        <v>6</v>
      </c>
      <c r="I49" s="18"/>
      <c r="J49" s="312"/>
      <c r="K49" s="58"/>
    </row>
    <row r="50" spans="2:11" ht="12.75" customHeight="1">
      <c r="B50" s="27" t="s">
        <v>42</v>
      </c>
      <c r="C50" s="61"/>
      <c r="D50" s="52"/>
      <c r="E50" s="52"/>
      <c r="F50" s="52"/>
      <c r="G50" s="145">
        <v>1</v>
      </c>
      <c r="H50" s="210" t="s">
        <v>6</v>
      </c>
      <c r="I50" s="18"/>
      <c r="J50" s="312"/>
      <c r="K50" s="58"/>
    </row>
    <row r="51" spans="2:11" ht="12.75" customHeight="1">
      <c r="B51" s="27" t="s">
        <v>43</v>
      </c>
      <c r="C51" s="52"/>
      <c r="D51" s="52"/>
      <c r="E51" s="52"/>
      <c r="F51" s="52"/>
      <c r="G51" s="145">
        <v>2</v>
      </c>
      <c r="H51" s="210" t="s">
        <v>6</v>
      </c>
      <c r="I51" s="18"/>
      <c r="J51" s="312"/>
      <c r="K51" s="58"/>
    </row>
    <row r="52" spans="1:11" ht="4.5" customHeight="1">
      <c r="A52" s="41"/>
      <c r="B52" s="41"/>
      <c r="C52" s="41"/>
      <c r="D52" s="1"/>
      <c r="E52" s="1"/>
      <c r="F52" s="1"/>
      <c r="G52" s="211"/>
      <c r="H52" s="211"/>
      <c r="I52" s="57"/>
      <c r="J52" s="312"/>
      <c r="K52" s="58"/>
    </row>
    <row r="53" spans="2:11" ht="12.75" customHeight="1">
      <c r="B53" s="25" t="s">
        <v>15</v>
      </c>
      <c r="C53" s="1"/>
      <c r="D53" s="212"/>
      <c r="E53" s="213"/>
      <c r="F53" s="213"/>
      <c r="G53" s="146">
        <v>0</v>
      </c>
      <c r="H53" s="213"/>
      <c r="J53" s="312"/>
      <c r="K53" s="1"/>
    </row>
    <row r="54" spans="1:11" ht="4.5" customHeight="1">
      <c r="A54" s="41"/>
      <c r="B54" s="41"/>
      <c r="C54" s="1"/>
      <c r="D54" s="213"/>
      <c r="E54" s="213"/>
      <c r="F54" s="213"/>
      <c r="G54" s="213"/>
      <c r="H54" s="213"/>
      <c r="I54" s="53"/>
      <c r="J54" s="312"/>
      <c r="K54" s="1"/>
    </row>
    <row r="55" spans="2:11" ht="12.75" customHeight="1">
      <c r="B55" s="25" t="s">
        <v>39</v>
      </c>
      <c r="C55" s="1"/>
      <c r="D55" s="212"/>
      <c r="E55" s="213"/>
      <c r="F55" s="213"/>
      <c r="G55" s="214">
        <f>SUM(G48:G53)</f>
        <v>27</v>
      </c>
      <c r="H55" s="213"/>
      <c r="J55" s="312"/>
      <c r="K55" s="1"/>
    </row>
    <row r="56" spans="2:11" ht="12.75" customHeight="1">
      <c r="B56" s="41"/>
      <c r="C56" s="1"/>
      <c r="D56" s="213"/>
      <c r="E56" s="213"/>
      <c r="F56" s="213"/>
      <c r="G56" s="213"/>
      <c r="H56" s="213"/>
      <c r="I56" s="53"/>
      <c r="J56" s="312"/>
      <c r="K56" s="1"/>
    </row>
    <row r="57" spans="1:11" ht="12.75" customHeight="1">
      <c r="A57" s="205" t="s">
        <v>16</v>
      </c>
      <c r="B57" s="205"/>
      <c r="C57" s="206"/>
      <c r="D57" s="206"/>
      <c r="E57" s="206"/>
      <c r="F57" s="206"/>
      <c r="G57" s="206"/>
      <c r="H57" s="206"/>
      <c r="I57" s="307"/>
      <c r="J57" s="1"/>
      <c r="K57" s="17"/>
    </row>
    <row r="58" spans="1:11" ht="4.5" customHeight="1">
      <c r="A58" s="215"/>
      <c r="B58" s="215"/>
      <c r="C58" s="215"/>
      <c r="D58" s="215"/>
      <c r="J58" s="1"/>
      <c r="K58" s="17"/>
    </row>
    <row r="59" spans="1:11" ht="12.75" customHeight="1">
      <c r="A59" s="216" t="s">
        <v>11</v>
      </c>
      <c r="B59" s="216"/>
      <c r="C59" s="1"/>
      <c r="G59" s="241">
        <f>J40</f>
        <v>22160000</v>
      </c>
      <c r="J59" s="1"/>
      <c r="K59" s="17"/>
    </row>
    <row r="60" spans="1:11" ht="7.5" customHeight="1">
      <c r="A60" s="28"/>
      <c r="B60" s="28"/>
      <c r="C60" s="28"/>
      <c r="D60" s="28"/>
      <c r="E60" s="24"/>
      <c r="F60" s="24"/>
      <c r="G60" s="212"/>
      <c r="J60" s="313"/>
      <c r="K60" s="17"/>
    </row>
    <row r="61" spans="1:11" s="267" customFormat="1" ht="13.5" customHeight="1">
      <c r="A61" s="266" t="s">
        <v>52</v>
      </c>
      <c r="B61" s="266"/>
      <c r="C61" s="266"/>
      <c r="G61" s="269">
        <f>0.021*G55+0.761</f>
        <v>1.33</v>
      </c>
      <c r="H61" s="270"/>
      <c r="I61" s="8"/>
      <c r="J61" s="314"/>
      <c r="K61" s="17"/>
    </row>
    <row r="62" spans="1:11" ht="4.5" customHeight="1">
      <c r="A62" s="28"/>
      <c r="B62" s="28"/>
      <c r="C62" s="28"/>
      <c r="D62" s="1"/>
      <c r="E62" s="1"/>
      <c r="F62" s="1"/>
      <c r="G62" s="39"/>
      <c r="H62" s="148"/>
      <c r="J62" s="313"/>
      <c r="K62" s="17"/>
    </row>
    <row r="63" spans="1:11" s="267" customFormat="1" ht="13.5" customHeight="1">
      <c r="A63" s="266" t="s">
        <v>55</v>
      </c>
      <c r="B63" s="266"/>
      <c r="C63" s="266"/>
      <c r="G63" s="276">
        <f>ROUND(110.07*G59^(-0.41731)*G61/100,6)</f>
        <v>0.001259</v>
      </c>
      <c r="H63" s="268" t="s">
        <v>83</v>
      </c>
      <c r="I63" s="8"/>
      <c r="J63" s="314"/>
      <c r="K63" s="17"/>
    </row>
    <row r="64" spans="1:11" ht="12.75" customHeight="1">
      <c r="A64" s="28" t="s">
        <v>102</v>
      </c>
      <c r="B64" s="28"/>
      <c r="C64" s="28"/>
      <c r="D64" s="1"/>
      <c r="E64" s="1"/>
      <c r="F64" s="1"/>
      <c r="G64" s="315">
        <v>0.1</v>
      </c>
      <c r="H64" s="316"/>
      <c r="J64" s="313"/>
      <c r="K64" s="17"/>
    </row>
    <row r="65" spans="1:11" ht="7.5" customHeight="1">
      <c r="A65" s="28"/>
      <c r="B65" s="28"/>
      <c r="C65" s="28"/>
      <c r="D65" s="1"/>
      <c r="E65" s="1"/>
      <c r="F65" s="1"/>
      <c r="G65" s="217"/>
      <c r="H65" s="217"/>
      <c r="J65" s="313"/>
      <c r="K65" s="17"/>
    </row>
    <row r="66" spans="1:11" ht="15" customHeight="1">
      <c r="A66" s="29" t="s">
        <v>103</v>
      </c>
      <c r="B66" s="26"/>
      <c r="C66" s="26"/>
      <c r="D66" s="218"/>
      <c r="E66" s="219"/>
      <c r="F66" s="219"/>
      <c r="G66" s="220"/>
      <c r="H66" s="317">
        <f>G59*G63*(1+G64)</f>
        <v>30689</v>
      </c>
      <c r="I66" s="65"/>
      <c r="J66" s="1"/>
      <c r="K66" s="17"/>
    </row>
    <row r="67" spans="1:11" ht="6" customHeight="1">
      <c r="A67" s="467"/>
      <c r="B67" s="25"/>
      <c r="C67" s="25"/>
      <c r="D67" s="468"/>
      <c r="E67" s="221"/>
      <c r="F67" s="221"/>
      <c r="G67" s="222"/>
      <c r="H67" s="222"/>
      <c r="I67" s="18"/>
      <c r="J67" s="1"/>
      <c r="K67" s="17"/>
    </row>
    <row r="68" spans="1:11" ht="12.75" customHeight="1">
      <c r="A68" s="40"/>
      <c r="B68" s="41"/>
      <c r="C68" s="41"/>
      <c r="D68" s="221"/>
      <c r="E68" s="466" t="s">
        <v>222</v>
      </c>
      <c r="F68" s="464"/>
      <c r="G68" s="465" t="s">
        <v>5</v>
      </c>
      <c r="H68" s="222"/>
      <c r="I68" s="57"/>
      <c r="J68" s="42"/>
      <c r="K68" s="17"/>
    </row>
    <row r="69" spans="1:10" ht="12.75" customHeight="1">
      <c r="A69" s="223" t="s">
        <v>76</v>
      </c>
      <c r="B69" s="223"/>
      <c r="C69" s="224"/>
      <c r="D69" s="1"/>
      <c r="E69" s="462">
        <v>0.03</v>
      </c>
      <c r="F69" s="225"/>
      <c r="G69" s="242">
        <v>0.03</v>
      </c>
      <c r="H69" s="275">
        <f>$H$66*G69</f>
        <v>921</v>
      </c>
      <c r="I69" s="53"/>
      <c r="J69" s="191"/>
    </row>
    <row r="70" spans="1:10" ht="12.75" customHeight="1">
      <c r="A70" s="223" t="s">
        <v>34</v>
      </c>
      <c r="B70" s="223"/>
      <c r="C70" s="224"/>
      <c r="D70" s="1"/>
      <c r="E70" s="462">
        <v>0.17</v>
      </c>
      <c r="F70" s="225"/>
      <c r="G70" s="243">
        <v>0.17</v>
      </c>
      <c r="H70" s="275">
        <f aca="true" t="shared" si="1" ref="H70:H78">$H$66*G70</f>
        <v>5217</v>
      </c>
      <c r="I70" s="53"/>
      <c r="J70" s="191"/>
    </row>
    <row r="71" spans="1:10" ht="12.75" customHeight="1">
      <c r="A71" s="223" t="s">
        <v>35</v>
      </c>
      <c r="B71" s="223"/>
      <c r="C71" s="224"/>
      <c r="D71" s="1"/>
      <c r="E71" s="462">
        <v>0.35</v>
      </c>
      <c r="F71" s="225"/>
      <c r="G71" s="243">
        <v>0.35</v>
      </c>
      <c r="H71" s="275">
        <f t="shared" si="1"/>
        <v>10741</v>
      </c>
      <c r="I71" s="53"/>
      <c r="J71" s="191"/>
    </row>
    <row r="72" spans="1:10" ht="12.75" customHeight="1">
      <c r="A72" s="223" t="s">
        <v>36</v>
      </c>
      <c r="B72" s="223"/>
      <c r="C72" s="224"/>
      <c r="D72" s="1"/>
      <c r="E72" s="462">
        <v>0.05</v>
      </c>
      <c r="F72" s="225"/>
      <c r="G72" s="243">
        <v>0.05</v>
      </c>
      <c r="H72" s="275">
        <f t="shared" si="1"/>
        <v>1534</v>
      </c>
      <c r="I72" s="53"/>
      <c r="J72" s="191"/>
    </row>
    <row r="73" spans="1:10" ht="12.75" customHeight="1">
      <c r="A73" s="223" t="s">
        <v>53</v>
      </c>
      <c r="B73" s="223"/>
      <c r="C73" s="224"/>
      <c r="D73" s="1"/>
      <c r="E73" s="462">
        <v>0.27</v>
      </c>
      <c r="F73" s="225"/>
      <c r="G73" s="243">
        <v>0.27</v>
      </c>
      <c r="H73" s="275">
        <f t="shared" si="1"/>
        <v>8286</v>
      </c>
      <c r="I73" s="53"/>
      <c r="J73" s="191"/>
    </row>
    <row r="74" spans="1:10" ht="12.75" customHeight="1">
      <c r="A74" s="223" t="s">
        <v>37</v>
      </c>
      <c r="B74" s="223"/>
      <c r="C74" s="224"/>
      <c r="D74" s="1"/>
      <c r="E74" s="462">
        <v>0.02</v>
      </c>
      <c r="F74" s="225"/>
      <c r="G74" s="243">
        <v>0.02</v>
      </c>
      <c r="H74" s="275">
        <f t="shared" si="1"/>
        <v>614</v>
      </c>
      <c r="I74" s="53"/>
      <c r="J74" s="191"/>
    </row>
    <row r="75" spans="1:10" ht="12.75" customHeight="1">
      <c r="A75" s="223" t="s">
        <v>50</v>
      </c>
      <c r="B75" s="223"/>
      <c r="C75" s="224"/>
      <c r="D75" s="1"/>
      <c r="E75" s="462">
        <v>0.02</v>
      </c>
      <c r="F75" s="225"/>
      <c r="G75" s="243">
        <v>0.02</v>
      </c>
      <c r="H75" s="275">
        <f t="shared" si="1"/>
        <v>614</v>
      </c>
      <c r="I75" s="53"/>
      <c r="J75" s="191"/>
    </row>
    <row r="76" spans="1:10" ht="12.75" customHeight="1">
      <c r="A76" s="223" t="s">
        <v>47</v>
      </c>
      <c r="B76" s="223"/>
      <c r="C76" s="224"/>
      <c r="D76" s="1"/>
      <c r="E76" s="462">
        <v>0.09</v>
      </c>
      <c r="F76" s="225"/>
      <c r="G76" s="243">
        <v>0.09</v>
      </c>
      <c r="H76" s="275">
        <f t="shared" si="1"/>
        <v>2762</v>
      </c>
      <c r="I76" s="53"/>
      <c r="J76" s="191"/>
    </row>
    <row r="77" spans="1:10" ht="12.75" customHeight="1">
      <c r="A77" s="203" t="s">
        <v>54</v>
      </c>
      <c r="B77" s="203"/>
      <c r="C77" s="224"/>
      <c r="D77" s="1"/>
      <c r="E77" s="462">
        <v>0</v>
      </c>
      <c r="F77" s="225"/>
      <c r="G77" s="243">
        <v>0</v>
      </c>
      <c r="H77" s="275">
        <f t="shared" si="1"/>
        <v>0</v>
      </c>
      <c r="I77" s="53"/>
      <c r="J77" s="191"/>
    </row>
    <row r="78" spans="1:10" ht="12.75" customHeight="1">
      <c r="A78" s="226" t="s">
        <v>48</v>
      </c>
      <c r="B78" s="226"/>
      <c r="C78" s="227"/>
      <c r="D78" s="51"/>
      <c r="E78" s="463">
        <v>0</v>
      </c>
      <c r="F78" s="228"/>
      <c r="G78" s="244">
        <v>0</v>
      </c>
      <c r="H78" s="318">
        <f t="shared" si="1"/>
        <v>0</v>
      </c>
      <c r="I78" s="57"/>
      <c r="J78" s="191"/>
    </row>
    <row r="79" spans="1:10" ht="12.75" customHeight="1">
      <c r="A79" s="319" t="s">
        <v>38</v>
      </c>
      <c r="B79" s="203"/>
      <c r="C79" s="28"/>
      <c r="D79" s="1"/>
      <c r="E79" s="320"/>
      <c r="F79" s="320"/>
      <c r="G79" s="321">
        <f>SUM(G69:G78)</f>
        <v>1</v>
      </c>
      <c r="H79" s="278">
        <f>ROUND(SUM(H69:H78),2)</f>
        <v>30689</v>
      </c>
      <c r="J79" s="135">
        <f>H79</f>
        <v>30689</v>
      </c>
    </row>
    <row r="80" spans="7:10" ht="12.75" customHeight="1">
      <c r="G80" s="322"/>
      <c r="J80" s="191"/>
    </row>
    <row r="81" spans="1:14" ht="12.75" customHeight="1">
      <c r="A81" s="48" t="s">
        <v>88</v>
      </c>
      <c r="G81" s="271">
        <v>0</v>
      </c>
      <c r="H81" s="272">
        <v>0</v>
      </c>
      <c r="J81" s="135">
        <f>G81*H81</f>
        <v>0</v>
      </c>
      <c r="L81" s="44"/>
      <c r="M81" s="44"/>
      <c r="N81" s="44"/>
    </row>
    <row r="82" spans="7:10" ht="12.75" customHeight="1">
      <c r="G82" s="322"/>
      <c r="J82" s="191"/>
    </row>
    <row r="83" spans="1:11" s="32" customFormat="1" ht="12.75">
      <c r="A83" s="130" t="s">
        <v>104</v>
      </c>
      <c r="B83" s="131"/>
      <c r="C83" s="132"/>
      <c r="D83" s="132"/>
      <c r="E83" s="133"/>
      <c r="F83" s="134"/>
      <c r="G83" s="323"/>
      <c r="H83" s="133"/>
      <c r="I83" s="133"/>
      <c r="J83" s="135">
        <f>J79+J81</f>
        <v>30689</v>
      </c>
      <c r="K83" s="36"/>
    </row>
    <row r="84" spans="2:11" s="32" customFormat="1" ht="4.5" customHeight="1">
      <c r="B84" s="33"/>
      <c r="C84" s="34"/>
      <c r="D84" s="34"/>
      <c r="E84" s="66"/>
      <c r="F84" s="67"/>
      <c r="G84" s="247"/>
      <c r="H84" s="92"/>
      <c r="J84" s="124"/>
      <c r="K84" s="36"/>
    </row>
    <row r="85" spans="1:11" s="32" customFormat="1" ht="12.75">
      <c r="A85" s="69" t="s">
        <v>13</v>
      </c>
      <c r="B85" s="33"/>
      <c r="C85" s="34"/>
      <c r="D85" s="34"/>
      <c r="E85" s="77"/>
      <c r="F85" s="77"/>
      <c r="G85" s="248">
        <v>0.04</v>
      </c>
      <c r="H85" s="93"/>
      <c r="I85" s="37"/>
      <c r="J85" s="125">
        <f>ROUND(J83*G85,2)</f>
        <v>1228</v>
      </c>
      <c r="K85" s="36"/>
    </row>
    <row r="86" spans="1:11" s="32" customFormat="1" ht="3" customHeight="1">
      <c r="A86" s="70"/>
      <c r="B86" s="71"/>
      <c r="C86" s="72"/>
      <c r="D86" s="72"/>
      <c r="E86" s="79"/>
      <c r="F86" s="79"/>
      <c r="G86" s="249"/>
      <c r="H86" s="94"/>
      <c r="I86" s="70"/>
      <c r="J86" s="126"/>
      <c r="K86" s="36"/>
    </row>
    <row r="87" spans="2:11" s="32" customFormat="1" ht="3" customHeight="1">
      <c r="B87" s="33"/>
      <c r="C87" s="34"/>
      <c r="D87" s="34"/>
      <c r="E87" s="81"/>
      <c r="F87" s="81"/>
      <c r="G87" s="250"/>
      <c r="H87" s="95"/>
      <c r="I87" s="82"/>
      <c r="J87" s="124"/>
      <c r="K87" s="36"/>
    </row>
    <row r="88" spans="1:11" s="32" customFormat="1" ht="12.75">
      <c r="A88" s="74" t="s">
        <v>68</v>
      </c>
      <c r="B88" s="75"/>
      <c r="C88" s="76"/>
      <c r="D88" s="76"/>
      <c r="E88" s="35"/>
      <c r="F88" s="35"/>
      <c r="G88" s="251"/>
      <c r="H88" s="93"/>
      <c r="I88" s="37"/>
      <c r="J88" s="127">
        <f>J83+J85</f>
        <v>31917</v>
      </c>
      <c r="K88" s="36"/>
    </row>
    <row r="89" spans="1:11" s="32" customFormat="1" ht="12.75">
      <c r="A89" s="32" t="s">
        <v>14</v>
      </c>
      <c r="B89" s="33"/>
      <c r="D89" s="34"/>
      <c r="E89" s="73"/>
      <c r="F89" s="73"/>
      <c r="G89" s="38">
        <v>0.2</v>
      </c>
      <c r="H89" s="38"/>
      <c r="J89" s="128">
        <f>ROUND(J88*G89,2)</f>
        <v>6383</v>
      </c>
      <c r="K89" s="36"/>
    </row>
    <row r="90" spans="1:11" s="32" customFormat="1" ht="3" customHeight="1">
      <c r="A90" s="37"/>
      <c r="B90" s="252"/>
      <c r="C90" s="80"/>
      <c r="D90" s="80"/>
      <c r="E90" s="73"/>
      <c r="F90" s="73"/>
      <c r="G90" s="68"/>
      <c r="H90" s="92"/>
      <c r="J90" s="129"/>
      <c r="K90" s="36"/>
    </row>
    <row r="91" spans="1:11" s="32" customFormat="1" ht="12.75">
      <c r="A91" s="253" t="s">
        <v>56</v>
      </c>
      <c r="B91" s="254"/>
      <c r="C91" s="255"/>
      <c r="D91" s="255"/>
      <c r="E91" s="256"/>
      <c r="F91" s="257"/>
      <c r="G91" s="258"/>
      <c r="H91" s="258"/>
      <c r="I91" s="256"/>
      <c r="J91" s="259">
        <f>SUM(J87:J89)</f>
        <v>38300</v>
      </c>
      <c r="K91" s="36"/>
    </row>
    <row r="92" ht="4.5" customHeight="1"/>
    <row r="93" spans="1:7" ht="12.75">
      <c r="A93" s="260" t="s">
        <v>84</v>
      </c>
      <c r="G93" s="324">
        <f>J88/G36</f>
        <v>0.001084</v>
      </c>
    </row>
  </sheetData>
  <sheetProtection password="D2DC" sheet="1"/>
  <mergeCells count="22">
    <mergeCell ref="A19:B19"/>
    <mergeCell ref="A32:B32"/>
    <mergeCell ref="A38:B38"/>
    <mergeCell ref="A34:B34"/>
    <mergeCell ref="A15:B15"/>
    <mergeCell ref="A26:B26"/>
    <mergeCell ref="A28:B28"/>
    <mergeCell ref="A14:B14"/>
    <mergeCell ref="A30:B30"/>
    <mergeCell ref="A25:B25"/>
    <mergeCell ref="A17:B17"/>
    <mergeCell ref="A18:B18"/>
    <mergeCell ref="A16:B16"/>
    <mergeCell ref="I2:J2"/>
    <mergeCell ref="A21:B21"/>
    <mergeCell ref="A13:B13"/>
    <mergeCell ref="A24:B24"/>
    <mergeCell ref="A23:B23"/>
    <mergeCell ref="A7:B7"/>
    <mergeCell ref="A9:B9"/>
    <mergeCell ref="A11:B11"/>
    <mergeCell ref="A12:B12"/>
  </mergeCell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&amp;L&amp;"Arial,Fett"&amp;K01+034Angebot Bauphysik + Brandschutz &amp;A
&amp;"Arial,Standard"nach VM.BP.2014&amp;R&amp;"Arial,Standard"&amp;K01+035Version 5
Stand: 07.01.2020</oddHeader>
    <oddFooter>&amp;L&amp;"Arial,Fett"&amp;K01+040LM.VM.2014 &amp;"Arial,Standard" |  Bauphysik &amp;A  |  Angebotsformular&amp;R&amp;"Arial,Standard"&amp;K01+040&amp;P/&amp;N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3"/>
  <sheetViews>
    <sheetView showGridLines="0" zoomScale="85" zoomScaleNormal="85" zoomScaleSheetLayoutView="85" zoomScalePageLayoutView="85" workbookViewId="0" topLeftCell="A37">
      <selection activeCell="F5" sqref="F5:G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28125" style="6" customWidth="1"/>
    <col min="4" max="4" width="33.7109375" style="7" customWidth="1"/>
    <col min="5" max="5" width="8.7109375" style="43" customWidth="1"/>
    <col min="6" max="6" width="6.7109375" style="43" customWidth="1"/>
    <col min="7" max="7" width="15.7109375" style="7" customWidth="1"/>
    <col min="8" max="8" width="11.7109375" style="43" customWidth="1"/>
    <col min="9" max="9" width="7.7109375" style="8" customWidth="1" collapsed="1"/>
    <col min="10" max="10" width="15.7109375" style="9" customWidth="1"/>
    <col min="11" max="11" width="2.7109375" style="59" customWidth="1"/>
    <col min="12" max="16384" width="11.57421875" style="1" customWidth="1"/>
  </cols>
  <sheetData>
    <row r="1" ht="4.5" customHeight="1"/>
    <row r="2" spans="1:11" s="54" customFormat="1" ht="34.5" customHeight="1">
      <c r="A2" s="139" t="s">
        <v>81</v>
      </c>
      <c r="C2" s="12"/>
      <c r="D2" s="102"/>
      <c r="G2" s="55"/>
      <c r="H2" s="55"/>
      <c r="I2" s="474" t="s">
        <v>72</v>
      </c>
      <c r="J2" s="474"/>
      <c r="K2" s="62"/>
    </row>
    <row r="3" spans="1:11" s="10" customFormat="1" ht="6" customHeight="1">
      <c r="A3" s="104"/>
      <c r="B3" s="104"/>
      <c r="C3" s="104"/>
      <c r="D3" s="104"/>
      <c r="E3" s="104"/>
      <c r="F3" s="104"/>
      <c r="G3" s="104"/>
      <c r="H3" s="104"/>
      <c r="I3" s="104"/>
      <c r="J3" s="105"/>
      <c r="K3" s="2"/>
    </row>
    <row r="4" spans="10:11" s="10" customFormat="1" ht="6" customHeight="1">
      <c r="J4" s="2"/>
      <c r="K4" s="2"/>
    </row>
    <row r="5" spans="6:11" s="10" customFormat="1" ht="12.75" customHeight="1">
      <c r="F5" s="99" t="s">
        <v>66</v>
      </c>
      <c r="G5" s="45" t="s">
        <v>44</v>
      </c>
      <c r="H5" s="45"/>
      <c r="I5" s="15" t="s">
        <v>17</v>
      </c>
      <c r="J5" s="122" t="s">
        <v>45</v>
      </c>
      <c r="K5" s="45"/>
    </row>
    <row r="6" spans="7:11" s="10" customFormat="1" ht="6" customHeight="1">
      <c r="G6" s="97"/>
      <c r="J6" s="2"/>
      <c r="K6" s="2"/>
    </row>
    <row r="7" spans="1:11" s="11" customFormat="1" ht="12.75" customHeight="1">
      <c r="A7" s="475">
        <v>1</v>
      </c>
      <c r="B7" s="475"/>
      <c r="C7" s="107"/>
      <c r="D7" s="108" t="s">
        <v>0</v>
      </c>
      <c r="E7" s="108"/>
      <c r="F7" s="166">
        <f>G7/$G$36</f>
        <v>0.001</v>
      </c>
      <c r="G7" s="182">
        <f>_1</f>
        <v>15000</v>
      </c>
      <c r="H7" s="103"/>
      <c r="I7" s="140">
        <v>0</v>
      </c>
      <c r="J7" s="182">
        <f>G7*I7</f>
        <v>0</v>
      </c>
      <c r="K7" s="50"/>
    </row>
    <row r="8" spans="2:11" ht="6.75" customHeight="1">
      <c r="B8" s="3"/>
      <c r="C8" s="5"/>
      <c r="D8" s="1"/>
      <c r="E8" s="1"/>
      <c r="F8" s="167"/>
      <c r="G8" s="177"/>
      <c r="H8" s="1"/>
      <c r="I8" s="137"/>
      <c r="J8" s="177"/>
      <c r="K8" s="63"/>
    </row>
    <row r="9" spans="1:11" s="11" customFormat="1" ht="12.75" customHeight="1">
      <c r="A9" s="475">
        <v>2</v>
      </c>
      <c r="B9" s="475"/>
      <c r="C9" s="107"/>
      <c r="D9" s="108" t="s">
        <v>1</v>
      </c>
      <c r="E9" s="108"/>
      <c r="F9" s="166">
        <f>G9/$G$36</f>
        <v>0.306</v>
      </c>
      <c r="G9" s="182">
        <f>_2</f>
        <v>9000000</v>
      </c>
      <c r="H9" s="103"/>
      <c r="I9" s="141">
        <v>1</v>
      </c>
      <c r="J9" s="182">
        <f>G9*I9</f>
        <v>9000000</v>
      </c>
      <c r="K9" s="50"/>
    </row>
    <row r="10" spans="2:11" ht="6.75" customHeight="1">
      <c r="B10" s="12"/>
      <c r="C10" s="12"/>
      <c r="D10" s="13"/>
      <c r="E10" s="13"/>
      <c r="F10" s="167"/>
      <c r="G10" s="305"/>
      <c r="H10" s="1"/>
      <c r="I10" s="137"/>
      <c r="J10" s="178"/>
      <c r="K10" s="50"/>
    </row>
    <row r="11" spans="1:11" s="10" customFormat="1" ht="12.75" customHeight="1">
      <c r="A11" s="475">
        <v>3</v>
      </c>
      <c r="B11" s="475"/>
      <c r="C11" s="107"/>
      <c r="D11" s="108" t="s">
        <v>7</v>
      </c>
      <c r="E11" s="108"/>
      <c r="F11" s="166">
        <f>G11/$G$36</f>
        <v>0.192</v>
      </c>
      <c r="G11" s="183">
        <f>_3</f>
        <v>5650000</v>
      </c>
      <c r="H11" s="103"/>
      <c r="I11" s="143"/>
      <c r="J11" s="151"/>
      <c r="K11" s="50"/>
    </row>
    <row r="12" spans="1:11" ht="12.75" customHeight="1">
      <c r="A12" s="476">
        <v>3</v>
      </c>
      <c r="B12" s="476"/>
      <c r="C12" s="111" t="s">
        <v>18</v>
      </c>
      <c r="D12" s="112" t="s">
        <v>19</v>
      </c>
      <c r="E12" s="112"/>
      <c r="F12" s="168"/>
      <c r="G12" s="179">
        <f>_3.01</f>
        <v>900000</v>
      </c>
      <c r="H12" s="103"/>
      <c r="I12" s="141">
        <v>1</v>
      </c>
      <c r="J12" s="184">
        <f aca="true" t="shared" si="0" ref="J12:J19">G12*I12</f>
        <v>900000</v>
      </c>
      <c r="K12" s="50"/>
    </row>
    <row r="13" spans="1:11" ht="12.75" customHeight="1">
      <c r="A13" s="473">
        <v>3</v>
      </c>
      <c r="B13" s="473"/>
      <c r="C13" s="115" t="s">
        <v>20</v>
      </c>
      <c r="D13" s="116" t="s">
        <v>27</v>
      </c>
      <c r="E13" s="116"/>
      <c r="F13" s="169"/>
      <c r="G13" s="180">
        <f>_3.02</f>
        <v>1200000</v>
      </c>
      <c r="H13" s="103"/>
      <c r="I13" s="141">
        <v>1</v>
      </c>
      <c r="J13" s="235">
        <f t="shared" si="0"/>
        <v>1200000</v>
      </c>
      <c r="K13" s="50"/>
    </row>
    <row r="14" spans="1:11" ht="12.75" customHeight="1">
      <c r="A14" s="473">
        <v>3</v>
      </c>
      <c r="B14" s="473"/>
      <c r="C14" s="115" t="s">
        <v>21</v>
      </c>
      <c r="D14" s="116" t="s">
        <v>28</v>
      </c>
      <c r="E14" s="116"/>
      <c r="F14" s="169"/>
      <c r="G14" s="181">
        <f>_3.03</f>
        <v>1000000</v>
      </c>
      <c r="H14" s="103"/>
      <c r="I14" s="141">
        <v>1</v>
      </c>
      <c r="J14" s="235">
        <f t="shared" si="0"/>
        <v>1000000</v>
      </c>
      <c r="K14" s="50"/>
    </row>
    <row r="15" spans="1:11" ht="12.75" customHeight="1">
      <c r="A15" s="473">
        <v>3</v>
      </c>
      <c r="B15" s="473"/>
      <c r="C15" s="115" t="s">
        <v>22</v>
      </c>
      <c r="D15" s="116" t="s">
        <v>29</v>
      </c>
      <c r="E15" s="116"/>
      <c r="F15" s="169"/>
      <c r="G15" s="181">
        <f>_3.04</f>
        <v>1500000</v>
      </c>
      <c r="H15" s="103"/>
      <c r="I15" s="141">
        <v>1</v>
      </c>
      <c r="J15" s="235">
        <f t="shared" si="0"/>
        <v>1500000</v>
      </c>
      <c r="K15" s="50"/>
    </row>
    <row r="16" spans="1:11" ht="12.75" customHeight="1">
      <c r="A16" s="473">
        <v>3</v>
      </c>
      <c r="B16" s="473"/>
      <c r="C16" s="115" t="s">
        <v>23</v>
      </c>
      <c r="D16" s="116" t="s">
        <v>32</v>
      </c>
      <c r="E16" s="116"/>
      <c r="F16" s="169"/>
      <c r="G16" s="181">
        <f>_3.05</f>
        <v>600000</v>
      </c>
      <c r="H16" s="103"/>
      <c r="I16" s="141">
        <v>1</v>
      </c>
      <c r="J16" s="235">
        <f t="shared" si="0"/>
        <v>600000</v>
      </c>
      <c r="K16" s="50"/>
    </row>
    <row r="17" spans="1:11" ht="12.75" customHeight="1">
      <c r="A17" s="473">
        <v>3</v>
      </c>
      <c r="B17" s="473"/>
      <c r="C17" s="115" t="s">
        <v>24</v>
      </c>
      <c r="D17" s="116" t="s">
        <v>30</v>
      </c>
      <c r="E17" s="116"/>
      <c r="F17" s="169"/>
      <c r="G17" s="181">
        <f>_3.06</f>
        <v>150000</v>
      </c>
      <c r="H17" s="103"/>
      <c r="I17" s="141">
        <v>1</v>
      </c>
      <c r="J17" s="235">
        <f t="shared" si="0"/>
        <v>150000</v>
      </c>
      <c r="K17" s="50"/>
    </row>
    <row r="18" spans="1:11" ht="12.75" customHeight="1">
      <c r="A18" s="473">
        <v>3</v>
      </c>
      <c r="B18" s="473"/>
      <c r="C18" s="115" t="s">
        <v>25</v>
      </c>
      <c r="D18" s="116" t="s">
        <v>31</v>
      </c>
      <c r="E18" s="116"/>
      <c r="F18" s="169"/>
      <c r="G18" s="181">
        <f>_3.07</f>
        <v>0</v>
      </c>
      <c r="H18" s="103"/>
      <c r="I18" s="141">
        <v>0</v>
      </c>
      <c r="J18" s="235">
        <f t="shared" si="0"/>
        <v>0</v>
      </c>
      <c r="K18" s="50"/>
    </row>
    <row r="19" spans="1:11" ht="12.75" customHeight="1">
      <c r="A19" s="473">
        <v>3</v>
      </c>
      <c r="B19" s="473"/>
      <c r="C19" s="115" t="s">
        <v>26</v>
      </c>
      <c r="D19" s="116" t="s">
        <v>8</v>
      </c>
      <c r="E19" s="116"/>
      <c r="F19" s="169"/>
      <c r="G19" s="181">
        <f>_3.08</f>
        <v>300000</v>
      </c>
      <c r="H19" s="103"/>
      <c r="I19" s="141">
        <v>1</v>
      </c>
      <c r="J19" s="236">
        <f t="shared" si="0"/>
        <v>300000</v>
      </c>
      <c r="K19" s="50"/>
    </row>
    <row r="20" spans="2:11" ht="6.75" customHeight="1">
      <c r="B20" s="12"/>
      <c r="C20" s="12"/>
      <c r="D20" s="13"/>
      <c r="E20" s="13"/>
      <c r="F20" s="167"/>
      <c r="G20" s="151"/>
      <c r="H20" s="1"/>
      <c r="I20" s="142"/>
      <c r="J20" s="151"/>
      <c r="K20" s="49"/>
    </row>
    <row r="21" spans="1:11" s="10" customFormat="1" ht="12.75" customHeight="1">
      <c r="A21" s="475">
        <v>4</v>
      </c>
      <c r="B21" s="475"/>
      <c r="C21" s="107"/>
      <c r="D21" s="108" t="s">
        <v>2</v>
      </c>
      <c r="E21" s="108"/>
      <c r="F21" s="166">
        <f>G21/$G$36</f>
        <v>0.204</v>
      </c>
      <c r="G21" s="182">
        <f>_4</f>
        <v>6000000</v>
      </c>
      <c r="H21" s="103"/>
      <c r="I21" s="141">
        <v>1</v>
      </c>
      <c r="J21" s="182">
        <f>G21*I21</f>
        <v>6000000</v>
      </c>
      <c r="K21" s="50"/>
    </row>
    <row r="22" spans="2:11" ht="6.75" customHeight="1">
      <c r="B22" s="3"/>
      <c r="C22" s="5"/>
      <c r="D22" s="1"/>
      <c r="E22" s="1"/>
      <c r="F22" s="167"/>
      <c r="G22" s="151"/>
      <c r="H22" s="1"/>
      <c r="I22" s="143"/>
      <c r="J22" s="151"/>
      <c r="K22" s="48"/>
    </row>
    <row r="23" spans="1:11" s="11" customFormat="1" ht="12.75" customHeight="1">
      <c r="A23" s="475">
        <v>5</v>
      </c>
      <c r="B23" s="475"/>
      <c r="C23" s="107"/>
      <c r="D23" s="108" t="s">
        <v>9</v>
      </c>
      <c r="E23" s="108"/>
      <c r="F23" s="166">
        <f>G23/$G$36</f>
        <v>0.056</v>
      </c>
      <c r="G23" s="184">
        <f>_5</f>
        <v>1650000</v>
      </c>
      <c r="H23" s="103"/>
      <c r="I23" s="143"/>
      <c r="J23" s="237"/>
      <c r="K23" s="50"/>
    </row>
    <row r="24" spans="1:11" ht="12.75" customHeight="1">
      <c r="A24" s="476">
        <v>5</v>
      </c>
      <c r="B24" s="476"/>
      <c r="C24" s="118" t="s">
        <v>18</v>
      </c>
      <c r="D24" s="119" t="s">
        <v>94</v>
      </c>
      <c r="E24" s="119"/>
      <c r="F24" s="168"/>
      <c r="G24" s="180">
        <f>_5.01</f>
        <v>600000</v>
      </c>
      <c r="H24" s="103"/>
      <c r="I24" s="302">
        <v>1</v>
      </c>
      <c r="J24" s="235">
        <f>I24*G24</f>
        <v>600000</v>
      </c>
      <c r="K24" s="50"/>
    </row>
    <row r="25" spans="1:11" ht="12.75" customHeight="1">
      <c r="A25" s="477">
        <v>5</v>
      </c>
      <c r="B25" s="477"/>
      <c r="C25" s="120" t="s">
        <v>20</v>
      </c>
      <c r="D25" s="300" t="s">
        <v>95</v>
      </c>
      <c r="E25" s="300"/>
      <c r="F25" s="301"/>
      <c r="G25" s="180">
        <f>_5.02</f>
        <v>1000000</v>
      </c>
      <c r="H25" s="103"/>
      <c r="I25" s="302">
        <v>0.6</v>
      </c>
      <c r="J25" s="235">
        <f>G25*I25</f>
        <v>600000</v>
      </c>
      <c r="K25" s="50"/>
    </row>
    <row r="26" spans="1:11" ht="12.75" customHeight="1">
      <c r="A26" s="477">
        <v>5</v>
      </c>
      <c r="B26" s="477"/>
      <c r="C26" s="120" t="s">
        <v>21</v>
      </c>
      <c r="D26" s="121" t="s">
        <v>46</v>
      </c>
      <c r="E26" s="121"/>
      <c r="F26" s="169"/>
      <c r="G26" s="180">
        <f>_5.03</f>
        <v>50000</v>
      </c>
      <c r="H26" s="2"/>
      <c r="I26" s="302">
        <v>0</v>
      </c>
      <c r="J26" s="235">
        <f>G26*I26</f>
        <v>0</v>
      </c>
      <c r="K26" s="50"/>
    </row>
    <row r="27" spans="2:11" ht="6.75" customHeight="1">
      <c r="B27" s="12"/>
      <c r="C27" s="12"/>
      <c r="D27" s="13"/>
      <c r="E27" s="13"/>
      <c r="F27" s="167"/>
      <c r="G27" s="178"/>
      <c r="H27" s="1"/>
      <c r="I27" s="137"/>
      <c r="J27" s="178"/>
      <c r="K27" s="50"/>
    </row>
    <row r="28" spans="1:11" s="10" customFormat="1" ht="12.75" customHeight="1">
      <c r="A28" s="475">
        <v>6</v>
      </c>
      <c r="B28" s="475"/>
      <c r="C28" s="107"/>
      <c r="D28" s="108" t="s">
        <v>3</v>
      </c>
      <c r="E28" s="108"/>
      <c r="F28" s="166">
        <f>G28/$G$36</f>
        <v>0.017</v>
      </c>
      <c r="G28" s="182">
        <f>_6</f>
        <v>500000</v>
      </c>
      <c r="H28" s="103"/>
      <c r="I28" s="141">
        <v>0</v>
      </c>
      <c r="J28" s="182">
        <f>G28*I28</f>
        <v>0</v>
      </c>
      <c r="K28" s="50"/>
    </row>
    <row r="29" spans="2:11" ht="6.75" customHeight="1">
      <c r="B29" s="16"/>
      <c r="C29" s="4"/>
      <c r="D29" s="1"/>
      <c r="E29" s="1"/>
      <c r="F29" s="170"/>
      <c r="G29" s="151"/>
      <c r="H29" s="1"/>
      <c r="I29" s="143"/>
      <c r="J29" s="151"/>
      <c r="K29" s="50"/>
    </row>
    <row r="30" spans="1:11" s="11" customFormat="1" ht="12.75" customHeight="1">
      <c r="A30" s="475">
        <v>7</v>
      </c>
      <c r="B30" s="475"/>
      <c r="C30" s="107"/>
      <c r="D30" s="108" t="s">
        <v>87</v>
      </c>
      <c r="E30" s="108"/>
      <c r="F30" s="166">
        <f>G30/$G$36</f>
        <v>0.17</v>
      </c>
      <c r="G30" s="182">
        <f>_7</f>
        <v>5000000</v>
      </c>
      <c r="H30" s="103"/>
      <c r="I30" s="141">
        <v>0</v>
      </c>
      <c r="J30" s="182">
        <f>G30*I30</f>
        <v>0</v>
      </c>
      <c r="K30" s="50"/>
    </row>
    <row r="31" spans="2:11" ht="6.75" customHeight="1">
      <c r="B31" s="12"/>
      <c r="C31" s="12"/>
      <c r="D31" s="13"/>
      <c r="E31" s="13"/>
      <c r="F31" s="170"/>
      <c r="G31" s="178"/>
      <c r="H31" s="1"/>
      <c r="I31" s="137"/>
      <c r="J31" s="178"/>
      <c r="K31" s="50"/>
    </row>
    <row r="32" spans="1:11" s="11" customFormat="1" ht="12.75" customHeight="1">
      <c r="A32" s="475">
        <v>8</v>
      </c>
      <c r="B32" s="475"/>
      <c r="C32" s="107"/>
      <c r="D32" s="108" t="s">
        <v>82</v>
      </c>
      <c r="E32" s="108"/>
      <c r="F32" s="166">
        <f>G32/$G$36</f>
        <v>0.001</v>
      </c>
      <c r="G32" s="182">
        <f>_8</f>
        <v>36000</v>
      </c>
      <c r="H32" s="103"/>
      <c r="I32" s="141">
        <v>0</v>
      </c>
      <c r="J32" s="182">
        <f>G32*I32</f>
        <v>0</v>
      </c>
      <c r="K32" s="50"/>
    </row>
    <row r="33" spans="2:11" ht="6.75" customHeight="1">
      <c r="B33" s="12"/>
      <c r="C33" s="12"/>
      <c r="D33" s="13"/>
      <c r="E33" s="13"/>
      <c r="F33" s="170"/>
      <c r="G33" s="151"/>
      <c r="H33" s="1"/>
      <c r="I33" s="142"/>
      <c r="J33" s="151"/>
      <c r="K33" s="49"/>
    </row>
    <row r="34" spans="1:11" s="11" customFormat="1" ht="12.75" customHeight="1">
      <c r="A34" s="475">
        <v>9</v>
      </c>
      <c r="B34" s="475"/>
      <c r="C34" s="107"/>
      <c r="D34" s="108" t="s">
        <v>10</v>
      </c>
      <c r="E34" s="108"/>
      <c r="F34" s="166">
        <f>G34/$G$36</f>
        <v>0.054</v>
      </c>
      <c r="G34" s="182">
        <f>_9</f>
        <v>1600000</v>
      </c>
      <c r="H34" s="103"/>
      <c r="I34" s="141">
        <v>0.1</v>
      </c>
      <c r="J34" s="182">
        <f>G34*I34</f>
        <v>160000</v>
      </c>
      <c r="K34" s="50"/>
    </row>
    <row r="35" spans="2:11" ht="12" customHeight="1">
      <c r="B35" s="16"/>
      <c r="C35" s="4"/>
      <c r="D35" s="1"/>
      <c r="E35" s="1"/>
      <c r="F35" s="47"/>
      <c r="G35" s="1"/>
      <c r="H35" s="1"/>
      <c r="I35" s="1"/>
      <c r="J35" s="1"/>
      <c r="K35" s="1"/>
    </row>
    <row r="36" spans="1:11" ht="12.75" customHeight="1">
      <c r="A36" s="262" t="s">
        <v>12</v>
      </c>
      <c r="B36" s="263"/>
      <c r="C36" s="263"/>
      <c r="D36" s="263"/>
      <c r="E36" s="90"/>
      <c r="F36" s="306">
        <f>SUM(F7:F34)</f>
        <v>1</v>
      </c>
      <c r="G36" s="123">
        <f>_EK</f>
        <v>29451000</v>
      </c>
      <c r="H36" s="91"/>
      <c r="I36" s="230"/>
      <c r="J36" s="31"/>
      <c r="K36" s="31"/>
    </row>
    <row r="37" spans="2:11" ht="12.75" customHeight="1">
      <c r="B37" s="304"/>
      <c r="C37" s="12"/>
      <c r="D37" s="13"/>
      <c r="E37" s="1"/>
      <c r="F37" s="47"/>
      <c r="G37" s="13"/>
      <c r="H37" s="14"/>
      <c r="I37" s="1"/>
      <c r="J37" s="1"/>
      <c r="K37" s="31"/>
    </row>
    <row r="38" spans="1:11" ht="12.75" customHeight="1">
      <c r="A38" s="475"/>
      <c r="B38" s="475"/>
      <c r="C38" s="107" t="s">
        <v>101</v>
      </c>
      <c r="D38" s="108"/>
      <c r="E38" s="289"/>
      <c r="F38" s="166"/>
      <c r="G38" s="182">
        <f>_mvB</f>
        <v>150000</v>
      </c>
      <c r="H38" s="103"/>
      <c r="I38" s="302">
        <v>1</v>
      </c>
      <c r="J38" s="182">
        <f>G38*I38</f>
        <v>150000</v>
      </c>
      <c r="K38" s="31"/>
    </row>
    <row r="39" spans="2:11" ht="6" customHeight="1">
      <c r="B39" s="12"/>
      <c r="C39" s="12"/>
      <c r="D39" s="13"/>
      <c r="E39" s="1"/>
      <c r="F39" s="47"/>
      <c r="G39" s="13"/>
      <c r="H39" s="1"/>
      <c r="I39" s="18"/>
      <c r="J39" s="14"/>
      <c r="K39" s="17"/>
    </row>
    <row r="40" spans="1:11" s="19" customFormat="1" ht="12.75" customHeight="1">
      <c r="A40" s="264" t="s">
        <v>33</v>
      </c>
      <c r="B40" s="265"/>
      <c r="C40" s="265"/>
      <c r="D40" s="265"/>
      <c r="E40" s="238"/>
      <c r="F40" s="238"/>
      <c r="G40" s="238"/>
      <c r="H40" s="238"/>
      <c r="I40" s="239"/>
      <c r="J40" s="240">
        <f>SUM(J7:J38)</f>
        <v>22160000</v>
      </c>
      <c r="K40" s="64"/>
    </row>
    <row r="41" spans="2:11" s="21" customFormat="1" ht="12.75" customHeight="1">
      <c r="B41" s="23"/>
      <c r="C41" s="23"/>
      <c r="D41" s="22"/>
      <c r="E41" s="46"/>
      <c r="F41" s="46"/>
      <c r="G41" s="22"/>
      <c r="H41" s="46"/>
      <c r="I41" s="200"/>
      <c r="J41" s="200"/>
      <c r="K41" s="30"/>
    </row>
    <row r="42" spans="2:10" ht="9" customHeight="1">
      <c r="B42" s="20"/>
      <c r="J42" s="309"/>
    </row>
    <row r="43" spans="1:10" ht="6" customHeight="1">
      <c r="A43" s="203"/>
      <c r="B43" s="203"/>
      <c r="C43" s="203"/>
      <c r="D43" s="223"/>
      <c r="E43" s="229"/>
      <c r="F43" s="229"/>
      <c r="G43" s="223"/>
      <c r="H43" s="229"/>
      <c r="J43" s="310"/>
    </row>
    <row r="44" spans="1:11" ht="12.75" customHeight="1">
      <c r="A44" s="201" t="s">
        <v>59</v>
      </c>
      <c r="B44" s="201"/>
      <c r="C44" s="201"/>
      <c r="D44" s="202"/>
      <c r="E44" s="202"/>
      <c r="F44" s="202"/>
      <c r="G44" s="202"/>
      <c r="H44" s="202"/>
      <c r="I44" s="201"/>
      <c r="J44" s="311"/>
      <c r="K44" s="308"/>
    </row>
    <row r="45" spans="1:10" ht="6.75" customHeight="1">
      <c r="A45" s="203"/>
      <c r="B45" s="203"/>
      <c r="C45" s="203"/>
      <c r="D45" s="203"/>
      <c r="E45" s="204"/>
      <c r="F45" s="204"/>
      <c r="G45" s="203"/>
      <c r="H45" s="204"/>
      <c r="J45" s="310"/>
    </row>
    <row r="46" spans="1:11" ht="12.75" customHeight="1">
      <c r="A46" s="205" t="s">
        <v>67</v>
      </c>
      <c r="B46" s="206"/>
      <c r="C46" s="206"/>
      <c r="D46" s="206"/>
      <c r="E46" s="206"/>
      <c r="F46" s="206"/>
      <c r="G46" s="206"/>
      <c r="H46" s="206"/>
      <c r="I46" s="57"/>
      <c r="J46" s="310"/>
      <c r="K46" s="17"/>
    </row>
    <row r="47" spans="1:11" ht="12.75" customHeight="1">
      <c r="A47" s="25"/>
      <c r="B47" s="25"/>
      <c r="C47" s="25"/>
      <c r="D47" s="1"/>
      <c r="E47" s="1"/>
      <c r="F47" s="1"/>
      <c r="G47" s="207" t="s">
        <v>5</v>
      </c>
      <c r="H47" s="208" t="s">
        <v>4</v>
      </c>
      <c r="J47" s="312"/>
      <c r="K47" s="58"/>
    </row>
    <row r="48" spans="2:11" ht="12.75" customHeight="1">
      <c r="B48" s="26" t="s">
        <v>40</v>
      </c>
      <c r="C48" s="60"/>
      <c r="D48" s="51"/>
      <c r="E48" s="51"/>
      <c r="F48" s="51"/>
      <c r="G48" s="144">
        <v>22</v>
      </c>
      <c r="H48" s="209" t="s">
        <v>49</v>
      </c>
      <c r="I48" s="18"/>
      <c r="J48" s="312"/>
      <c r="K48" s="58"/>
    </row>
    <row r="49" spans="2:11" ht="12.75" customHeight="1">
      <c r="B49" s="27" t="s">
        <v>41</v>
      </c>
      <c r="C49" s="61"/>
      <c r="D49" s="52"/>
      <c r="E49" s="52"/>
      <c r="F49" s="52"/>
      <c r="G49" s="145">
        <v>2</v>
      </c>
      <c r="H49" s="210" t="s">
        <v>6</v>
      </c>
      <c r="I49" s="18"/>
      <c r="J49" s="312"/>
      <c r="K49" s="58"/>
    </row>
    <row r="50" spans="2:11" ht="12.75" customHeight="1">
      <c r="B50" s="27" t="s">
        <v>42</v>
      </c>
      <c r="C50" s="61"/>
      <c r="D50" s="52"/>
      <c r="E50" s="52"/>
      <c r="F50" s="52"/>
      <c r="G50" s="145">
        <v>1</v>
      </c>
      <c r="H50" s="210" t="s">
        <v>6</v>
      </c>
      <c r="I50" s="18"/>
      <c r="J50" s="312"/>
      <c r="K50" s="58"/>
    </row>
    <row r="51" spans="2:11" ht="12.75" customHeight="1">
      <c r="B51" s="27" t="s">
        <v>43</v>
      </c>
      <c r="C51" s="52"/>
      <c r="D51" s="52"/>
      <c r="E51" s="52"/>
      <c r="F51" s="52"/>
      <c r="G51" s="145">
        <v>2</v>
      </c>
      <c r="H51" s="210" t="s">
        <v>6</v>
      </c>
      <c r="I51" s="18"/>
      <c r="J51" s="312"/>
      <c r="K51" s="58"/>
    </row>
    <row r="52" spans="1:11" ht="4.5" customHeight="1">
      <c r="A52" s="41"/>
      <c r="B52" s="41"/>
      <c r="C52" s="41"/>
      <c r="D52" s="1"/>
      <c r="E52" s="1"/>
      <c r="F52" s="1"/>
      <c r="G52" s="211"/>
      <c r="H52" s="211"/>
      <c r="I52" s="57"/>
      <c r="J52" s="312"/>
      <c r="K52" s="58"/>
    </row>
    <row r="53" spans="2:11" ht="12.75" customHeight="1">
      <c r="B53" s="25" t="s">
        <v>15</v>
      </c>
      <c r="C53" s="1"/>
      <c r="D53" s="212"/>
      <c r="E53" s="213"/>
      <c r="F53" s="213"/>
      <c r="G53" s="146">
        <v>0</v>
      </c>
      <c r="H53" s="213"/>
      <c r="J53" s="312"/>
      <c r="K53" s="1"/>
    </row>
    <row r="54" spans="1:11" ht="4.5" customHeight="1">
      <c r="A54" s="41"/>
      <c r="B54" s="41"/>
      <c r="C54" s="1"/>
      <c r="D54" s="213"/>
      <c r="E54" s="213"/>
      <c r="F54" s="213"/>
      <c r="G54" s="213"/>
      <c r="H54" s="213"/>
      <c r="I54" s="53"/>
      <c r="J54" s="312"/>
      <c r="K54" s="1"/>
    </row>
    <row r="55" spans="2:11" ht="12.75" customHeight="1">
      <c r="B55" s="25" t="s">
        <v>39</v>
      </c>
      <c r="C55" s="1"/>
      <c r="D55" s="212"/>
      <c r="E55" s="213"/>
      <c r="F55" s="213"/>
      <c r="G55" s="214">
        <f>SUM(G48:G53)</f>
        <v>27</v>
      </c>
      <c r="H55" s="213"/>
      <c r="J55" s="312"/>
      <c r="K55" s="1"/>
    </row>
    <row r="56" spans="2:11" ht="12.75" customHeight="1">
      <c r="B56" s="41"/>
      <c r="C56" s="1"/>
      <c r="D56" s="213"/>
      <c r="E56" s="213"/>
      <c r="F56" s="213"/>
      <c r="G56" s="213"/>
      <c r="H56" s="213"/>
      <c r="I56" s="53"/>
      <c r="J56" s="312"/>
      <c r="K56" s="1"/>
    </row>
    <row r="57" spans="1:11" ht="12.75" customHeight="1">
      <c r="A57" s="205" t="s">
        <v>16</v>
      </c>
      <c r="B57" s="205"/>
      <c r="C57" s="206"/>
      <c r="D57" s="206"/>
      <c r="E57" s="206"/>
      <c r="F57" s="206"/>
      <c r="G57" s="206"/>
      <c r="H57" s="206"/>
      <c r="I57" s="307"/>
      <c r="J57" s="1"/>
      <c r="K57" s="17"/>
    </row>
    <row r="58" spans="1:11" ht="4.5" customHeight="1">
      <c r="A58" s="215"/>
      <c r="B58" s="215"/>
      <c r="C58" s="215"/>
      <c r="D58" s="215"/>
      <c r="J58" s="1"/>
      <c r="K58" s="17"/>
    </row>
    <row r="59" spans="1:11" ht="12.75" customHeight="1">
      <c r="A59" s="216" t="s">
        <v>11</v>
      </c>
      <c r="B59" s="216"/>
      <c r="C59" s="1"/>
      <c r="G59" s="241">
        <f>J40</f>
        <v>22160000</v>
      </c>
      <c r="J59" s="1"/>
      <c r="K59" s="17"/>
    </row>
    <row r="60" spans="1:11" ht="7.5" customHeight="1">
      <c r="A60" s="28"/>
      <c r="B60" s="28"/>
      <c r="C60" s="28"/>
      <c r="D60" s="28"/>
      <c r="E60" s="24"/>
      <c r="F60" s="24"/>
      <c r="G60" s="212"/>
      <c r="J60" s="313"/>
      <c r="K60" s="17"/>
    </row>
    <row r="61" spans="1:11" s="267" customFormat="1" ht="13.5" customHeight="1">
      <c r="A61" s="266" t="s">
        <v>57</v>
      </c>
      <c r="B61" s="266"/>
      <c r="C61" s="266"/>
      <c r="G61" s="269">
        <f>0.013*G55+0.923</f>
        <v>1.27</v>
      </c>
      <c r="H61" s="270"/>
      <c r="I61" s="8"/>
      <c r="J61" s="314"/>
      <c r="K61" s="17"/>
    </row>
    <row r="62" spans="1:11" ht="4.5" customHeight="1">
      <c r="A62" s="28"/>
      <c r="B62" s="28"/>
      <c r="C62" s="28"/>
      <c r="D62" s="1"/>
      <c r="E62" s="1"/>
      <c r="F62" s="1"/>
      <c r="G62" s="39"/>
      <c r="H62" s="148"/>
      <c r="J62" s="313"/>
      <c r="K62" s="17"/>
    </row>
    <row r="63" spans="1:11" s="267" customFormat="1" ht="13.5" customHeight="1">
      <c r="A63" s="266" t="s">
        <v>58</v>
      </c>
      <c r="B63" s="266"/>
      <c r="C63" s="266"/>
      <c r="G63" s="276">
        <f>ROUND(506.2538*G59^(-0.5074)*G61/100,6)</f>
        <v>0.001205</v>
      </c>
      <c r="H63" s="268" t="s">
        <v>83</v>
      </c>
      <c r="I63" s="8"/>
      <c r="J63" s="314"/>
      <c r="K63" s="17"/>
    </row>
    <row r="64" spans="1:11" s="267" customFormat="1" ht="13.5" customHeight="1">
      <c r="A64" s="28" t="s">
        <v>102</v>
      </c>
      <c r="B64" s="28"/>
      <c r="C64" s="28"/>
      <c r="D64" s="1"/>
      <c r="E64" s="1"/>
      <c r="F64" s="1"/>
      <c r="G64" s="315">
        <v>0.1</v>
      </c>
      <c r="H64" s="316"/>
      <c r="I64" s="8"/>
      <c r="J64" s="313"/>
      <c r="K64" s="17"/>
    </row>
    <row r="65" spans="1:11" ht="7.5" customHeight="1">
      <c r="A65" s="28"/>
      <c r="B65" s="28"/>
      <c r="C65" s="28"/>
      <c r="D65" s="1"/>
      <c r="E65" s="1"/>
      <c r="F65" s="1"/>
      <c r="G65" s="217"/>
      <c r="H65" s="217"/>
      <c r="J65" s="313"/>
      <c r="K65" s="17"/>
    </row>
    <row r="66" spans="1:11" ht="15" customHeight="1">
      <c r="A66" s="29" t="s">
        <v>105</v>
      </c>
      <c r="B66" s="26"/>
      <c r="C66" s="26"/>
      <c r="D66" s="218"/>
      <c r="E66" s="219"/>
      <c r="F66" s="219"/>
      <c r="G66" s="220"/>
      <c r="H66" s="317">
        <f>G59*G63*(1+G64)</f>
        <v>29373</v>
      </c>
      <c r="I66" s="65"/>
      <c r="J66" s="14"/>
      <c r="K66" s="17"/>
    </row>
    <row r="67" spans="1:11" ht="6" customHeight="1">
      <c r="A67" s="467"/>
      <c r="B67" s="25"/>
      <c r="C67" s="25"/>
      <c r="D67" s="468"/>
      <c r="E67" s="221"/>
      <c r="F67" s="221"/>
      <c r="G67" s="222"/>
      <c r="H67" s="222"/>
      <c r="I67" s="18"/>
      <c r="J67" s="14"/>
      <c r="K67" s="17"/>
    </row>
    <row r="68" spans="1:11" ht="12.75" customHeight="1">
      <c r="A68" s="40"/>
      <c r="B68" s="41"/>
      <c r="C68" s="41"/>
      <c r="D68" s="221"/>
      <c r="E68" s="466" t="s">
        <v>222</v>
      </c>
      <c r="F68" s="464"/>
      <c r="G68" s="465" t="s">
        <v>5</v>
      </c>
      <c r="H68" s="222"/>
      <c r="I68" s="57"/>
      <c r="J68" s="42"/>
      <c r="K68" s="17"/>
    </row>
    <row r="69" spans="1:10" ht="12.75" customHeight="1">
      <c r="A69" s="223" t="s">
        <v>76</v>
      </c>
      <c r="B69" s="223"/>
      <c r="C69" s="224"/>
      <c r="D69" s="1"/>
      <c r="E69" s="462">
        <v>0.03</v>
      </c>
      <c r="F69" s="225"/>
      <c r="G69" s="242">
        <v>0.03</v>
      </c>
      <c r="H69" s="275">
        <f>$H$66*G69</f>
        <v>881</v>
      </c>
      <c r="I69" s="53"/>
      <c r="J69" s="191"/>
    </row>
    <row r="70" spans="1:10" ht="12.75" customHeight="1">
      <c r="A70" s="223" t="s">
        <v>34</v>
      </c>
      <c r="B70" s="223"/>
      <c r="C70" s="224"/>
      <c r="D70" s="1"/>
      <c r="E70" s="462">
        <v>0.17</v>
      </c>
      <c r="F70" s="225"/>
      <c r="G70" s="243">
        <v>0.17</v>
      </c>
      <c r="H70" s="275">
        <f aca="true" t="shared" si="1" ref="H70:H78">$H$66*G70</f>
        <v>4993</v>
      </c>
      <c r="I70" s="53"/>
      <c r="J70" s="191"/>
    </row>
    <row r="71" spans="1:10" ht="12.75" customHeight="1">
      <c r="A71" s="223" t="s">
        <v>35</v>
      </c>
      <c r="B71" s="223"/>
      <c r="C71" s="224"/>
      <c r="D71" s="1"/>
      <c r="E71" s="462">
        <v>0.35</v>
      </c>
      <c r="F71" s="225"/>
      <c r="G71" s="243">
        <v>0.35</v>
      </c>
      <c r="H71" s="275">
        <f t="shared" si="1"/>
        <v>10281</v>
      </c>
      <c r="I71" s="53"/>
      <c r="J71" s="191"/>
    </row>
    <row r="72" spans="1:10" ht="12.75" customHeight="1">
      <c r="A72" s="223" t="s">
        <v>36</v>
      </c>
      <c r="B72" s="223"/>
      <c r="C72" s="224"/>
      <c r="D72" s="1"/>
      <c r="E72" s="462">
        <v>0.05</v>
      </c>
      <c r="F72" s="225"/>
      <c r="G72" s="243">
        <v>0.05</v>
      </c>
      <c r="H72" s="275">
        <f t="shared" si="1"/>
        <v>1469</v>
      </c>
      <c r="I72" s="53"/>
      <c r="J72" s="191"/>
    </row>
    <row r="73" spans="1:10" ht="12.75" customHeight="1">
      <c r="A73" s="223" t="s">
        <v>53</v>
      </c>
      <c r="B73" s="223"/>
      <c r="C73" s="224"/>
      <c r="D73" s="1"/>
      <c r="E73" s="462">
        <v>0.27</v>
      </c>
      <c r="F73" s="225"/>
      <c r="G73" s="243">
        <v>0.27</v>
      </c>
      <c r="H73" s="275">
        <f t="shared" si="1"/>
        <v>7931</v>
      </c>
      <c r="I73" s="53"/>
      <c r="J73" s="191"/>
    </row>
    <row r="74" spans="1:10" ht="12.75" customHeight="1">
      <c r="A74" s="223" t="s">
        <v>37</v>
      </c>
      <c r="B74" s="223"/>
      <c r="C74" s="224"/>
      <c r="D74" s="1"/>
      <c r="E74" s="462">
        <v>0.02</v>
      </c>
      <c r="F74" s="225"/>
      <c r="G74" s="243">
        <v>0.02</v>
      </c>
      <c r="H74" s="275">
        <f t="shared" si="1"/>
        <v>587</v>
      </c>
      <c r="I74" s="53"/>
      <c r="J74" s="191"/>
    </row>
    <row r="75" spans="1:10" ht="12.75" customHeight="1">
      <c r="A75" s="223" t="s">
        <v>50</v>
      </c>
      <c r="B75" s="223"/>
      <c r="C75" s="224"/>
      <c r="D75" s="1"/>
      <c r="E75" s="462">
        <v>0.02</v>
      </c>
      <c r="F75" s="225"/>
      <c r="G75" s="243">
        <v>0.02</v>
      </c>
      <c r="H75" s="275">
        <f t="shared" si="1"/>
        <v>587</v>
      </c>
      <c r="I75" s="53"/>
      <c r="J75" s="191"/>
    </row>
    <row r="76" spans="1:10" ht="12.75" customHeight="1">
      <c r="A76" s="223" t="s">
        <v>47</v>
      </c>
      <c r="B76" s="223"/>
      <c r="C76" s="224"/>
      <c r="D76" s="1"/>
      <c r="E76" s="462">
        <v>0.09</v>
      </c>
      <c r="F76" s="225"/>
      <c r="G76" s="243">
        <v>0.09</v>
      </c>
      <c r="H76" s="275">
        <f t="shared" si="1"/>
        <v>2644</v>
      </c>
      <c r="I76" s="53"/>
      <c r="J76" s="191"/>
    </row>
    <row r="77" spans="1:10" ht="12.75" customHeight="1">
      <c r="A77" s="203" t="s">
        <v>54</v>
      </c>
      <c r="B77" s="203"/>
      <c r="C77" s="224"/>
      <c r="D77" s="1"/>
      <c r="E77" s="462">
        <v>0</v>
      </c>
      <c r="F77" s="225"/>
      <c r="G77" s="243">
        <v>0</v>
      </c>
      <c r="H77" s="275">
        <f t="shared" si="1"/>
        <v>0</v>
      </c>
      <c r="I77" s="53"/>
      <c r="J77" s="191"/>
    </row>
    <row r="78" spans="1:10" ht="12.75" customHeight="1">
      <c r="A78" s="226" t="s">
        <v>48</v>
      </c>
      <c r="B78" s="226"/>
      <c r="C78" s="227"/>
      <c r="D78" s="51"/>
      <c r="E78" s="463">
        <v>0</v>
      </c>
      <c r="F78" s="228"/>
      <c r="G78" s="244">
        <v>0</v>
      </c>
      <c r="H78" s="318">
        <f t="shared" si="1"/>
        <v>0</v>
      </c>
      <c r="I78" s="57"/>
      <c r="J78" s="191"/>
    </row>
    <row r="79" spans="1:11" s="267" customFormat="1" ht="13.5" customHeight="1">
      <c r="A79" s="319" t="s">
        <v>38</v>
      </c>
      <c r="B79" s="203"/>
      <c r="C79" s="28"/>
      <c r="D79" s="1"/>
      <c r="E79" s="320"/>
      <c r="F79" s="320"/>
      <c r="G79" s="321">
        <f>SUM(G69:G78)</f>
        <v>1</v>
      </c>
      <c r="H79" s="278">
        <f>ROUND(SUM(H69:H78),2)</f>
        <v>29373</v>
      </c>
      <c r="I79" s="8"/>
      <c r="J79" s="135">
        <f>H79</f>
        <v>29373</v>
      </c>
      <c r="K79" s="59"/>
    </row>
    <row r="80" spans="7:10" ht="12.75" customHeight="1">
      <c r="G80" s="322"/>
      <c r="J80" s="191"/>
    </row>
    <row r="81" spans="1:14" ht="12.75" customHeight="1">
      <c r="A81" s="48" t="s">
        <v>88</v>
      </c>
      <c r="G81" s="271">
        <v>0</v>
      </c>
      <c r="H81" s="272">
        <v>0</v>
      </c>
      <c r="J81" s="135">
        <f>G81*H81</f>
        <v>0</v>
      </c>
      <c r="L81" s="44"/>
      <c r="M81" s="44"/>
      <c r="N81" s="44"/>
    </row>
    <row r="82" spans="7:10" ht="12.75" customHeight="1">
      <c r="G82" s="322"/>
      <c r="J82" s="191"/>
    </row>
    <row r="83" spans="1:11" s="32" customFormat="1" ht="12.75">
      <c r="A83" s="130" t="s">
        <v>106</v>
      </c>
      <c r="B83" s="131"/>
      <c r="C83" s="132"/>
      <c r="D83" s="132"/>
      <c r="E83" s="133"/>
      <c r="F83" s="134"/>
      <c r="G83" s="323"/>
      <c r="H83" s="133"/>
      <c r="I83" s="133"/>
      <c r="J83" s="135">
        <f>J79+J81</f>
        <v>29373</v>
      </c>
      <c r="K83" s="36"/>
    </row>
    <row r="84" spans="2:11" s="32" customFormat="1" ht="4.5" customHeight="1">
      <c r="B84" s="33"/>
      <c r="C84" s="34"/>
      <c r="D84" s="34"/>
      <c r="E84" s="66"/>
      <c r="F84" s="67"/>
      <c r="G84" s="247"/>
      <c r="H84" s="92"/>
      <c r="J84" s="124"/>
      <c r="K84" s="36"/>
    </row>
    <row r="85" spans="1:11" s="32" customFormat="1" ht="12.75">
      <c r="A85" s="69" t="s">
        <v>13</v>
      </c>
      <c r="B85" s="33"/>
      <c r="C85" s="34"/>
      <c r="D85" s="34"/>
      <c r="E85" s="77"/>
      <c r="F85" s="77"/>
      <c r="G85" s="248">
        <v>0.04</v>
      </c>
      <c r="H85" s="93"/>
      <c r="I85" s="37"/>
      <c r="J85" s="125">
        <f>ROUND(J83*G85,2)</f>
        <v>1175</v>
      </c>
      <c r="K85" s="36"/>
    </row>
    <row r="86" spans="1:11" s="32" customFormat="1" ht="3" customHeight="1">
      <c r="A86" s="70"/>
      <c r="B86" s="71"/>
      <c r="C86" s="72"/>
      <c r="D86" s="72"/>
      <c r="E86" s="79"/>
      <c r="F86" s="79"/>
      <c r="G86" s="249"/>
      <c r="H86" s="94"/>
      <c r="I86" s="70"/>
      <c r="J86" s="126"/>
      <c r="K86" s="36"/>
    </row>
    <row r="87" spans="2:11" s="32" customFormat="1" ht="3" customHeight="1">
      <c r="B87" s="33"/>
      <c r="C87" s="34"/>
      <c r="D87" s="34"/>
      <c r="E87" s="81"/>
      <c r="F87" s="81"/>
      <c r="G87" s="250"/>
      <c r="H87" s="95"/>
      <c r="I87" s="82"/>
      <c r="J87" s="124"/>
      <c r="K87" s="36"/>
    </row>
    <row r="88" spans="1:11" s="32" customFormat="1" ht="12.75">
      <c r="A88" s="74" t="s">
        <v>69</v>
      </c>
      <c r="B88" s="75"/>
      <c r="C88" s="76"/>
      <c r="D88" s="76"/>
      <c r="E88" s="35"/>
      <c r="F88" s="35"/>
      <c r="G88" s="251"/>
      <c r="H88" s="93"/>
      <c r="I88" s="37"/>
      <c r="J88" s="127">
        <f>J83+J85</f>
        <v>30548</v>
      </c>
      <c r="K88" s="36"/>
    </row>
    <row r="89" spans="1:11" s="32" customFormat="1" ht="12.75">
      <c r="A89" s="32" t="s">
        <v>14</v>
      </c>
      <c r="B89" s="33"/>
      <c r="D89" s="34"/>
      <c r="E89" s="73"/>
      <c r="F89" s="73"/>
      <c r="G89" s="38">
        <v>0.2</v>
      </c>
      <c r="H89" s="38"/>
      <c r="J89" s="128">
        <f>ROUND(J88*G89,2)</f>
        <v>6110</v>
      </c>
      <c r="K89" s="36"/>
    </row>
    <row r="90" spans="1:11" s="32" customFormat="1" ht="3" customHeight="1">
      <c r="A90" s="37"/>
      <c r="B90" s="252"/>
      <c r="C90" s="80"/>
      <c r="D90" s="80"/>
      <c r="E90" s="73"/>
      <c r="F90" s="73"/>
      <c r="G90" s="68"/>
      <c r="H90" s="92"/>
      <c r="J90" s="129"/>
      <c r="K90" s="36"/>
    </row>
    <row r="91" spans="1:11" s="37" customFormat="1" ht="12.75">
      <c r="A91" s="253" t="s">
        <v>60</v>
      </c>
      <c r="B91" s="254"/>
      <c r="C91" s="255"/>
      <c r="D91" s="255"/>
      <c r="E91" s="256"/>
      <c r="F91" s="257"/>
      <c r="G91" s="258"/>
      <c r="H91" s="258"/>
      <c r="I91" s="256"/>
      <c r="J91" s="259">
        <f>SUM(J87:J89)</f>
        <v>36658</v>
      </c>
      <c r="K91" s="36"/>
    </row>
    <row r="92" ht="4.5" customHeight="1"/>
    <row r="93" spans="1:7" ht="12.75">
      <c r="A93" s="260" t="s">
        <v>84</v>
      </c>
      <c r="G93" s="324">
        <f>J88/G36</f>
        <v>0.001037</v>
      </c>
    </row>
  </sheetData>
  <sheetProtection password="D2DC" sheet="1"/>
  <mergeCells count="22">
    <mergeCell ref="A19:B19"/>
    <mergeCell ref="A32:B32"/>
    <mergeCell ref="A38:B38"/>
    <mergeCell ref="A34:B34"/>
    <mergeCell ref="A15:B15"/>
    <mergeCell ref="A26:B26"/>
    <mergeCell ref="A28:B28"/>
    <mergeCell ref="A14:B14"/>
    <mergeCell ref="A30:B30"/>
    <mergeCell ref="A25:B25"/>
    <mergeCell ref="A17:B17"/>
    <mergeCell ref="A18:B18"/>
    <mergeCell ref="A16:B16"/>
    <mergeCell ref="I2:J2"/>
    <mergeCell ref="A21:B21"/>
    <mergeCell ref="A13:B13"/>
    <mergeCell ref="A24:B24"/>
    <mergeCell ref="A23:B23"/>
    <mergeCell ref="A7:B7"/>
    <mergeCell ref="A9:B9"/>
    <mergeCell ref="A11:B11"/>
    <mergeCell ref="A12:B12"/>
  </mergeCell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&amp;L&amp;"Arial,Fett"&amp;K01+034Angebot Bauphysik + Brandschutz &amp;A
&amp;"Arial,Standard"nach VM.BP.2014&amp;R&amp;"Arial,Standard"&amp;K01+035Version 5
Stand: 07.01.2020</oddHeader>
    <oddFooter>&amp;L&amp;"Arial,Fett"&amp;K01+040LM.VM.2014 &amp;"Arial,Standard" |  Bauphysik &amp;A  |  Angebotsformular&amp;R&amp;"Arial,Standard"&amp;K01+040&amp;P/&amp;N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94"/>
  <sheetViews>
    <sheetView showGridLines="0" zoomScale="85" zoomScaleNormal="85" zoomScaleSheetLayoutView="85" zoomScalePageLayoutView="85" workbookViewId="0" topLeftCell="A40">
      <selection activeCell="F5" sqref="F5:G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28125" style="6" customWidth="1"/>
    <col min="4" max="4" width="33.7109375" style="7" customWidth="1"/>
    <col min="5" max="5" width="8.7109375" style="43" customWidth="1"/>
    <col min="6" max="6" width="6.7109375" style="43" customWidth="1"/>
    <col min="7" max="7" width="15.7109375" style="7" customWidth="1"/>
    <col min="8" max="8" width="11.7109375" style="43" customWidth="1"/>
    <col min="9" max="9" width="7.7109375" style="8" customWidth="1" collapsed="1"/>
    <col min="10" max="10" width="15.7109375" style="9" customWidth="1"/>
    <col min="11" max="11" width="2.7109375" style="59" customWidth="1"/>
    <col min="12" max="16384" width="11.57421875" style="1" customWidth="1"/>
  </cols>
  <sheetData>
    <row r="1" ht="4.5" customHeight="1"/>
    <row r="2" spans="1:11" s="54" customFormat="1" ht="34.5" customHeight="1">
      <c r="A2" s="139" t="s">
        <v>81</v>
      </c>
      <c r="C2" s="12"/>
      <c r="D2" s="102"/>
      <c r="G2" s="55"/>
      <c r="H2" s="55"/>
      <c r="I2" s="474" t="s">
        <v>73</v>
      </c>
      <c r="J2" s="474"/>
      <c r="K2" s="62"/>
    </row>
    <row r="3" spans="1:11" s="10" customFormat="1" ht="6" customHeight="1">
      <c r="A3" s="104"/>
      <c r="B3" s="104"/>
      <c r="C3" s="104"/>
      <c r="D3" s="104"/>
      <c r="E3" s="104"/>
      <c r="F3" s="104"/>
      <c r="G3" s="104"/>
      <c r="H3" s="104"/>
      <c r="I3" s="104"/>
      <c r="J3" s="105"/>
      <c r="K3" s="2"/>
    </row>
    <row r="4" spans="10:11" s="10" customFormat="1" ht="6" customHeight="1">
      <c r="J4" s="2"/>
      <c r="K4" s="2"/>
    </row>
    <row r="5" spans="6:11" s="10" customFormat="1" ht="12.75" customHeight="1">
      <c r="F5" s="99" t="s">
        <v>66</v>
      </c>
      <c r="G5" s="45" t="s">
        <v>44</v>
      </c>
      <c r="H5" s="45"/>
      <c r="I5" s="15" t="s">
        <v>17</v>
      </c>
      <c r="J5" s="122" t="s">
        <v>45</v>
      </c>
      <c r="K5" s="45"/>
    </row>
    <row r="6" spans="7:11" s="10" customFormat="1" ht="6" customHeight="1">
      <c r="G6" s="97"/>
      <c r="J6" s="2"/>
      <c r="K6" s="2"/>
    </row>
    <row r="7" spans="1:11" s="11" customFormat="1" ht="12.75" customHeight="1">
      <c r="A7" s="475">
        <v>1</v>
      </c>
      <c r="B7" s="475"/>
      <c r="C7" s="107"/>
      <c r="D7" s="108" t="s">
        <v>0</v>
      </c>
      <c r="E7" s="108"/>
      <c r="F7" s="166">
        <f>G7/$G$36</f>
        <v>0.001</v>
      </c>
      <c r="G7" s="182">
        <f>_1</f>
        <v>15000</v>
      </c>
      <c r="H7" s="103"/>
      <c r="I7" s="140">
        <v>0</v>
      </c>
      <c r="J7" s="182">
        <f>G7*I7</f>
        <v>0</v>
      </c>
      <c r="K7" s="50"/>
    </row>
    <row r="8" spans="2:11" ht="6.75" customHeight="1">
      <c r="B8" s="3"/>
      <c r="C8" s="5"/>
      <c r="D8" s="1"/>
      <c r="E8" s="1"/>
      <c r="F8" s="167"/>
      <c r="G8" s="177"/>
      <c r="H8" s="1"/>
      <c r="I8" s="137"/>
      <c r="J8" s="177"/>
      <c r="K8" s="63"/>
    </row>
    <row r="9" spans="1:11" s="11" customFormat="1" ht="12.75" customHeight="1">
      <c r="A9" s="475">
        <v>2</v>
      </c>
      <c r="B9" s="475"/>
      <c r="C9" s="107"/>
      <c r="D9" s="108" t="s">
        <v>1</v>
      </c>
      <c r="E9" s="108"/>
      <c r="F9" s="166">
        <f>G9/$G$36</f>
        <v>0.306</v>
      </c>
      <c r="G9" s="182">
        <f>_2</f>
        <v>9000000</v>
      </c>
      <c r="H9" s="103"/>
      <c r="I9" s="141">
        <v>1</v>
      </c>
      <c r="J9" s="182">
        <f>G9*I9</f>
        <v>9000000</v>
      </c>
      <c r="K9" s="50"/>
    </row>
    <row r="10" spans="2:11" ht="6.75" customHeight="1">
      <c r="B10" s="12"/>
      <c r="C10" s="12"/>
      <c r="D10" s="13"/>
      <c r="E10" s="13"/>
      <c r="F10" s="167"/>
      <c r="G10" s="305"/>
      <c r="H10" s="1"/>
      <c r="I10" s="137"/>
      <c r="J10" s="178"/>
      <c r="K10" s="50"/>
    </row>
    <row r="11" spans="1:11" s="10" customFormat="1" ht="12.75" customHeight="1">
      <c r="A11" s="475">
        <v>3</v>
      </c>
      <c r="B11" s="475"/>
      <c r="C11" s="107"/>
      <c r="D11" s="108" t="s">
        <v>7</v>
      </c>
      <c r="E11" s="108"/>
      <c r="F11" s="166">
        <f>G11/$G$36</f>
        <v>0.192</v>
      </c>
      <c r="G11" s="183">
        <f>_3</f>
        <v>5650000</v>
      </c>
      <c r="H11" s="103"/>
      <c r="I11" s="143"/>
      <c r="J11" s="151"/>
      <c r="K11" s="50"/>
    </row>
    <row r="12" spans="1:11" ht="12.75" customHeight="1">
      <c r="A12" s="476">
        <v>3</v>
      </c>
      <c r="B12" s="476"/>
      <c r="C12" s="111" t="s">
        <v>18</v>
      </c>
      <c r="D12" s="112" t="s">
        <v>19</v>
      </c>
      <c r="E12" s="112"/>
      <c r="F12" s="168"/>
      <c r="G12" s="179">
        <f>_3.01</f>
        <v>900000</v>
      </c>
      <c r="H12" s="103"/>
      <c r="I12" s="141">
        <v>1</v>
      </c>
      <c r="J12" s="184">
        <f aca="true" t="shared" si="0" ref="J12:J19">G12*I12</f>
        <v>900000</v>
      </c>
      <c r="K12" s="50"/>
    </row>
    <row r="13" spans="1:11" ht="12.75" customHeight="1">
      <c r="A13" s="473">
        <v>3</v>
      </c>
      <c r="B13" s="473"/>
      <c r="C13" s="115" t="s">
        <v>20</v>
      </c>
      <c r="D13" s="116" t="s">
        <v>27</v>
      </c>
      <c r="E13" s="116"/>
      <c r="F13" s="169"/>
      <c r="G13" s="180">
        <f>_3.02</f>
        <v>1200000</v>
      </c>
      <c r="H13" s="103"/>
      <c r="I13" s="141">
        <v>1</v>
      </c>
      <c r="J13" s="235">
        <f t="shared" si="0"/>
        <v>1200000</v>
      </c>
      <c r="K13" s="50"/>
    </row>
    <row r="14" spans="1:11" ht="12.75" customHeight="1">
      <c r="A14" s="473">
        <v>3</v>
      </c>
      <c r="B14" s="473"/>
      <c r="C14" s="115" t="s">
        <v>21</v>
      </c>
      <c r="D14" s="116" t="s">
        <v>28</v>
      </c>
      <c r="E14" s="116"/>
      <c r="F14" s="169"/>
      <c r="G14" s="181">
        <f>_3.03</f>
        <v>1000000</v>
      </c>
      <c r="H14" s="103"/>
      <c r="I14" s="141">
        <v>1</v>
      </c>
      <c r="J14" s="235">
        <f t="shared" si="0"/>
        <v>1000000</v>
      </c>
      <c r="K14" s="50"/>
    </row>
    <row r="15" spans="1:11" ht="12.75" customHeight="1">
      <c r="A15" s="473">
        <v>3</v>
      </c>
      <c r="B15" s="473"/>
      <c r="C15" s="115" t="s">
        <v>22</v>
      </c>
      <c r="D15" s="116" t="s">
        <v>29</v>
      </c>
      <c r="E15" s="116"/>
      <c r="F15" s="169"/>
      <c r="G15" s="181">
        <f>_3.04</f>
        <v>1500000</v>
      </c>
      <c r="H15" s="103"/>
      <c r="I15" s="141">
        <v>1</v>
      </c>
      <c r="J15" s="235">
        <f t="shared" si="0"/>
        <v>1500000</v>
      </c>
      <c r="K15" s="50"/>
    </row>
    <row r="16" spans="1:11" ht="12.75" customHeight="1">
      <c r="A16" s="473">
        <v>3</v>
      </c>
      <c r="B16" s="473"/>
      <c r="C16" s="115" t="s">
        <v>23</v>
      </c>
      <c r="D16" s="116" t="s">
        <v>32</v>
      </c>
      <c r="E16" s="116"/>
      <c r="F16" s="169"/>
      <c r="G16" s="181">
        <f>_3.05</f>
        <v>600000</v>
      </c>
      <c r="H16" s="103"/>
      <c r="I16" s="141">
        <v>1</v>
      </c>
      <c r="J16" s="235">
        <f t="shared" si="0"/>
        <v>600000</v>
      </c>
      <c r="K16" s="50"/>
    </row>
    <row r="17" spans="1:11" ht="12.75" customHeight="1">
      <c r="A17" s="473">
        <v>3</v>
      </c>
      <c r="B17" s="473"/>
      <c r="C17" s="115" t="s">
        <v>24</v>
      </c>
      <c r="D17" s="116" t="s">
        <v>30</v>
      </c>
      <c r="E17" s="116"/>
      <c r="F17" s="169"/>
      <c r="G17" s="181">
        <f>_3.06</f>
        <v>150000</v>
      </c>
      <c r="H17" s="103"/>
      <c r="I17" s="141">
        <v>1</v>
      </c>
      <c r="J17" s="235">
        <f t="shared" si="0"/>
        <v>150000</v>
      </c>
      <c r="K17" s="50"/>
    </row>
    <row r="18" spans="1:11" ht="12.75" customHeight="1">
      <c r="A18" s="473">
        <v>3</v>
      </c>
      <c r="B18" s="473"/>
      <c r="C18" s="115" t="s">
        <v>25</v>
      </c>
      <c r="D18" s="116" t="s">
        <v>31</v>
      </c>
      <c r="E18" s="116"/>
      <c r="F18" s="169"/>
      <c r="G18" s="181">
        <f>_3.07</f>
        <v>0</v>
      </c>
      <c r="H18" s="103"/>
      <c r="I18" s="141">
        <v>0</v>
      </c>
      <c r="J18" s="235">
        <f t="shared" si="0"/>
        <v>0</v>
      </c>
      <c r="K18" s="50"/>
    </row>
    <row r="19" spans="1:11" ht="12.75" customHeight="1">
      <c r="A19" s="473">
        <v>3</v>
      </c>
      <c r="B19" s="473"/>
      <c r="C19" s="115" t="s">
        <v>26</v>
      </c>
      <c r="D19" s="116" t="s">
        <v>8</v>
      </c>
      <c r="E19" s="116"/>
      <c r="F19" s="169"/>
      <c r="G19" s="181">
        <f>_3.08</f>
        <v>300000</v>
      </c>
      <c r="H19" s="103"/>
      <c r="I19" s="141">
        <v>1</v>
      </c>
      <c r="J19" s="236">
        <f t="shared" si="0"/>
        <v>300000</v>
      </c>
      <c r="K19" s="50"/>
    </row>
    <row r="20" spans="2:11" ht="6.75" customHeight="1">
      <c r="B20" s="12"/>
      <c r="C20" s="12"/>
      <c r="D20" s="13"/>
      <c r="E20" s="13"/>
      <c r="F20" s="167"/>
      <c r="G20" s="151"/>
      <c r="H20" s="1"/>
      <c r="I20" s="142"/>
      <c r="J20" s="151"/>
      <c r="K20" s="49"/>
    </row>
    <row r="21" spans="1:11" s="10" customFormat="1" ht="12.75" customHeight="1">
      <c r="A21" s="475">
        <v>4</v>
      </c>
      <c r="B21" s="475"/>
      <c r="C21" s="107"/>
      <c r="D21" s="108" t="s">
        <v>2</v>
      </c>
      <c r="E21" s="108"/>
      <c r="F21" s="166">
        <f>G21/$G$36</f>
        <v>0.204</v>
      </c>
      <c r="G21" s="182">
        <f>_4</f>
        <v>6000000</v>
      </c>
      <c r="H21" s="103"/>
      <c r="I21" s="141">
        <v>1</v>
      </c>
      <c r="J21" s="182">
        <f>G21*I21</f>
        <v>6000000</v>
      </c>
      <c r="K21" s="50"/>
    </row>
    <row r="22" spans="2:11" ht="6.75" customHeight="1">
      <c r="B22" s="3"/>
      <c r="C22" s="5"/>
      <c r="D22" s="1"/>
      <c r="E22" s="1"/>
      <c r="F22" s="167"/>
      <c r="G22" s="151"/>
      <c r="H22" s="1"/>
      <c r="I22" s="143"/>
      <c r="J22" s="151"/>
      <c r="K22" s="48"/>
    </row>
    <row r="23" spans="1:11" s="11" customFormat="1" ht="12.75" customHeight="1">
      <c r="A23" s="475">
        <v>5</v>
      </c>
      <c r="B23" s="475"/>
      <c r="C23" s="107"/>
      <c r="D23" s="108" t="s">
        <v>9</v>
      </c>
      <c r="E23" s="108"/>
      <c r="F23" s="166">
        <f>G23/$G$36</f>
        <v>0.056</v>
      </c>
      <c r="G23" s="184">
        <f>_5</f>
        <v>1650000</v>
      </c>
      <c r="H23" s="103"/>
      <c r="I23" s="143"/>
      <c r="J23" s="237"/>
      <c r="K23" s="50"/>
    </row>
    <row r="24" spans="1:11" ht="12.75" customHeight="1">
      <c r="A24" s="476">
        <v>5</v>
      </c>
      <c r="B24" s="476"/>
      <c r="C24" s="118" t="s">
        <v>18</v>
      </c>
      <c r="D24" s="119" t="s">
        <v>94</v>
      </c>
      <c r="E24" s="119"/>
      <c r="F24" s="168"/>
      <c r="G24" s="180">
        <f>_5.01</f>
        <v>600000</v>
      </c>
      <c r="H24" s="103"/>
      <c r="I24" s="302">
        <v>1</v>
      </c>
      <c r="J24" s="235">
        <f>I24*G24</f>
        <v>600000</v>
      </c>
      <c r="K24" s="50"/>
    </row>
    <row r="25" spans="1:11" ht="12.75" customHeight="1">
      <c r="A25" s="477">
        <v>5</v>
      </c>
      <c r="B25" s="477"/>
      <c r="C25" s="120" t="s">
        <v>20</v>
      </c>
      <c r="D25" s="300" t="s">
        <v>95</v>
      </c>
      <c r="E25" s="300"/>
      <c r="F25" s="301"/>
      <c r="G25" s="180">
        <f>_5.02</f>
        <v>1000000</v>
      </c>
      <c r="H25" s="103"/>
      <c r="I25" s="302">
        <v>0.6</v>
      </c>
      <c r="J25" s="235">
        <f>G25*I25</f>
        <v>600000</v>
      </c>
      <c r="K25" s="50"/>
    </row>
    <row r="26" spans="1:11" ht="12.75" customHeight="1">
      <c r="A26" s="477">
        <v>5</v>
      </c>
      <c r="B26" s="477"/>
      <c r="C26" s="120" t="s">
        <v>21</v>
      </c>
      <c r="D26" s="121" t="s">
        <v>46</v>
      </c>
      <c r="E26" s="121"/>
      <c r="F26" s="169"/>
      <c r="G26" s="180">
        <f>_5.03</f>
        <v>50000</v>
      </c>
      <c r="H26" s="2"/>
      <c r="I26" s="302">
        <v>0</v>
      </c>
      <c r="J26" s="235">
        <f>G26*I26</f>
        <v>0</v>
      </c>
      <c r="K26" s="50"/>
    </row>
    <row r="27" spans="2:11" ht="6.75" customHeight="1">
      <c r="B27" s="12"/>
      <c r="C27" s="12"/>
      <c r="D27" s="13"/>
      <c r="E27" s="13"/>
      <c r="F27" s="167"/>
      <c r="G27" s="178"/>
      <c r="H27" s="1"/>
      <c r="I27" s="137"/>
      <c r="J27" s="178"/>
      <c r="K27" s="50"/>
    </row>
    <row r="28" spans="1:11" s="10" customFormat="1" ht="12.75" customHeight="1">
      <c r="A28" s="475">
        <v>6</v>
      </c>
      <c r="B28" s="475"/>
      <c r="C28" s="107"/>
      <c r="D28" s="108" t="s">
        <v>3</v>
      </c>
      <c r="E28" s="108"/>
      <c r="F28" s="166">
        <f>G28/$G$36</f>
        <v>0.017</v>
      </c>
      <c r="G28" s="182">
        <f>_6</f>
        <v>500000</v>
      </c>
      <c r="H28" s="103"/>
      <c r="I28" s="141">
        <v>0</v>
      </c>
      <c r="J28" s="182">
        <f>G28*I28</f>
        <v>0</v>
      </c>
      <c r="K28" s="50"/>
    </row>
    <row r="29" spans="2:11" ht="6.75" customHeight="1">
      <c r="B29" s="16"/>
      <c r="C29" s="4"/>
      <c r="D29" s="1"/>
      <c r="E29" s="1"/>
      <c r="F29" s="170"/>
      <c r="G29" s="151"/>
      <c r="H29" s="1"/>
      <c r="I29" s="143"/>
      <c r="J29" s="151"/>
      <c r="K29" s="50"/>
    </row>
    <row r="30" spans="1:11" s="11" customFormat="1" ht="12.75" customHeight="1">
      <c r="A30" s="475">
        <v>7</v>
      </c>
      <c r="B30" s="475"/>
      <c r="C30" s="107"/>
      <c r="D30" s="108" t="s">
        <v>87</v>
      </c>
      <c r="E30" s="108"/>
      <c r="F30" s="166">
        <f>G30/$G$36</f>
        <v>0.17</v>
      </c>
      <c r="G30" s="182">
        <f>_7</f>
        <v>5000000</v>
      </c>
      <c r="H30" s="103"/>
      <c r="I30" s="141">
        <v>0</v>
      </c>
      <c r="J30" s="182">
        <f>G30*I30</f>
        <v>0</v>
      </c>
      <c r="K30" s="50"/>
    </row>
    <row r="31" spans="2:11" ht="6.75" customHeight="1">
      <c r="B31" s="12"/>
      <c r="C31" s="12"/>
      <c r="D31" s="13"/>
      <c r="E31" s="13"/>
      <c r="F31" s="170"/>
      <c r="G31" s="178"/>
      <c r="H31" s="1"/>
      <c r="I31" s="137"/>
      <c r="J31" s="178"/>
      <c r="K31" s="50"/>
    </row>
    <row r="32" spans="1:11" s="11" customFormat="1" ht="12.75" customHeight="1">
      <c r="A32" s="475">
        <v>8</v>
      </c>
      <c r="B32" s="475"/>
      <c r="C32" s="107"/>
      <c r="D32" s="108" t="s">
        <v>82</v>
      </c>
      <c r="E32" s="108"/>
      <c r="F32" s="166">
        <f>G32/$G$36</f>
        <v>0.001</v>
      </c>
      <c r="G32" s="182">
        <f>_8</f>
        <v>36000</v>
      </c>
      <c r="H32" s="103"/>
      <c r="I32" s="141">
        <v>0</v>
      </c>
      <c r="J32" s="182">
        <f>G32*I32</f>
        <v>0</v>
      </c>
      <c r="K32" s="50"/>
    </row>
    <row r="33" spans="2:11" ht="6.75" customHeight="1">
      <c r="B33" s="12"/>
      <c r="C33" s="12"/>
      <c r="D33" s="13"/>
      <c r="E33" s="13"/>
      <c r="F33" s="170"/>
      <c r="G33" s="151"/>
      <c r="H33" s="1"/>
      <c r="I33" s="142"/>
      <c r="J33" s="151"/>
      <c r="K33" s="49"/>
    </row>
    <row r="34" spans="1:11" s="11" customFormat="1" ht="12.75" customHeight="1">
      <c r="A34" s="475">
        <v>9</v>
      </c>
      <c r="B34" s="475"/>
      <c r="C34" s="107"/>
      <c r="D34" s="108" t="s">
        <v>10</v>
      </c>
      <c r="E34" s="108"/>
      <c r="F34" s="166">
        <f>G34/$G$36</f>
        <v>0.054</v>
      </c>
      <c r="G34" s="182">
        <f>_9</f>
        <v>1600000</v>
      </c>
      <c r="H34" s="103"/>
      <c r="I34" s="141">
        <v>0.1</v>
      </c>
      <c r="J34" s="182">
        <f>G34*I34</f>
        <v>160000</v>
      </c>
      <c r="K34" s="50"/>
    </row>
    <row r="35" spans="2:11" ht="12" customHeight="1">
      <c r="B35" s="16"/>
      <c r="C35" s="4"/>
      <c r="D35" s="1"/>
      <c r="E35" s="1"/>
      <c r="F35" s="47"/>
      <c r="G35" s="1"/>
      <c r="H35" s="1"/>
      <c r="I35" s="1"/>
      <c r="J35" s="1"/>
      <c r="K35" s="1"/>
    </row>
    <row r="36" spans="1:11" ht="12.75" customHeight="1">
      <c r="A36" s="262" t="s">
        <v>12</v>
      </c>
      <c r="B36" s="263"/>
      <c r="C36" s="263"/>
      <c r="D36" s="263"/>
      <c r="E36" s="90"/>
      <c r="F36" s="306">
        <f>SUM(F7:F34)</f>
        <v>1</v>
      </c>
      <c r="G36" s="123">
        <f>_EK</f>
        <v>29451000</v>
      </c>
      <c r="H36" s="91"/>
      <c r="I36" s="230"/>
      <c r="J36" s="31"/>
      <c r="K36" s="31"/>
    </row>
    <row r="37" spans="2:11" ht="12.75" customHeight="1">
      <c r="B37" s="304"/>
      <c r="C37" s="12"/>
      <c r="D37" s="13"/>
      <c r="E37" s="1"/>
      <c r="F37" s="47"/>
      <c r="G37" s="13"/>
      <c r="H37" s="14"/>
      <c r="I37" s="1"/>
      <c r="J37" s="1"/>
      <c r="K37" s="31"/>
    </row>
    <row r="38" spans="1:11" ht="12.75" customHeight="1">
      <c r="A38" s="475"/>
      <c r="B38" s="475"/>
      <c r="C38" s="107" t="s">
        <v>101</v>
      </c>
      <c r="D38" s="108"/>
      <c r="E38" s="289"/>
      <c r="F38" s="166"/>
      <c r="G38" s="182">
        <f>_mvB</f>
        <v>150000</v>
      </c>
      <c r="H38" s="103"/>
      <c r="I38" s="302">
        <v>1</v>
      </c>
      <c r="J38" s="182">
        <f>G38*I38</f>
        <v>150000</v>
      </c>
      <c r="K38" s="31"/>
    </row>
    <row r="39" spans="2:11" ht="6" customHeight="1">
      <c r="B39" s="12"/>
      <c r="C39" s="12"/>
      <c r="D39" s="13"/>
      <c r="E39" s="1"/>
      <c r="F39" s="47"/>
      <c r="G39" s="13"/>
      <c r="H39" s="1"/>
      <c r="I39" s="18"/>
      <c r="J39" s="14"/>
      <c r="K39" s="17"/>
    </row>
    <row r="40" spans="1:11" s="19" customFormat="1" ht="12.75" customHeight="1">
      <c r="A40" s="264" t="s">
        <v>33</v>
      </c>
      <c r="B40" s="265"/>
      <c r="C40" s="265"/>
      <c r="D40" s="265"/>
      <c r="E40" s="238"/>
      <c r="F40" s="238"/>
      <c r="G40" s="238"/>
      <c r="H40" s="238"/>
      <c r="I40" s="239"/>
      <c r="J40" s="240">
        <f>SUM(J7:J38)</f>
        <v>22160000</v>
      </c>
      <c r="K40" s="64"/>
    </row>
    <row r="41" spans="2:11" s="21" customFormat="1" ht="12.75" customHeight="1">
      <c r="B41" s="23"/>
      <c r="C41" s="23"/>
      <c r="D41" s="22"/>
      <c r="E41" s="46"/>
      <c r="F41" s="46"/>
      <c r="G41" s="22"/>
      <c r="H41" s="46"/>
      <c r="I41" s="200"/>
      <c r="J41" s="200"/>
      <c r="K41" s="30"/>
    </row>
    <row r="42" spans="2:10" ht="9" customHeight="1">
      <c r="B42" s="20"/>
      <c r="J42" s="309"/>
    </row>
    <row r="43" spans="1:10" ht="6" customHeight="1">
      <c r="A43" s="203"/>
      <c r="B43" s="203"/>
      <c r="C43" s="203"/>
      <c r="D43" s="223"/>
      <c r="E43" s="229"/>
      <c r="F43" s="229"/>
      <c r="G43" s="223"/>
      <c r="H43" s="229"/>
      <c r="J43" s="310"/>
    </row>
    <row r="44" spans="1:11" ht="12.75" customHeight="1">
      <c r="A44" s="201" t="s">
        <v>61</v>
      </c>
      <c r="B44" s="201"/>
      <c r="C44" s="201"/>
      <c r="D44" s="202"/>
      <c r="E44" s="202"/>
      <c r="F44" s="202"/>
      <c r="G44" s="202"/>
      <c r="H44" s="202"/>
      <c r="I44" s="201"/>
      <c r="J44" s="311"/>
      <c r="K44" s="308"/>
    </row>
    <row r="45" spans="1:10" ht="6.75" customHeight="1">
      <c r="A45" s="203"/>
      <c r="B45" s="203"/>
      <c r="C45" s="203"/>
      <c r="D45" s="203"/>
      <c r="E45" s="204"/>
      <c r="F45" s="204"/>
      <c r="G45" s="203"/>
      <c r="H45" s="204"/>
      <c r="J45" s="310"/>
    </row>
    <row r="46" spans="1:11" ht="12.75" customHeight="1">
      <c r="A46" s="205" t="s">
        <v>67</v>
      </c>
      <c r="B46" s="206"/>
      <c r="C46" s="206"/>
      <c r="D46" s="206"/>
      <c r="E46" s="206"/>
      <c r="F46" s="206"/>
      <c r="G46" s="206"/>
      <c r="H46" s="206"/>
      <c r="I46" s="57"/>
      <c r="J46" s="310"/>
      <c r="K46" s="17"/>
    </row>
    <row r="47" spans="1:11" ht="12.75" customHeight="1">
      <c r="A47" s="25"/>
      <c r="B47" s="25"/>
      <c r="C47" s="25"/>
      <c r="D47" s="1"/>
      <c r="E47" s="1"/>
      <c r="F47" s="1"/>
      <c r="G47" s="207" t="s">
        <v>5</v>
      </c>
      <c r="H47" s="208" t="s">
        <v>4</v>
      </c>
      <c r="J47" s="312"/>
      <c r="K47" s="58"/>
    </row>
    <row r="48" spans="2:11" ht="12.75" customHeight="1">
      <c r="B48" s="26" t="s">
        <v>40</v>
      </c>
      <c r="C48" s="60"/>
      <c r="D48" s="51"/>
      <c r="E48" s="51"/>
      <c r="F48" s="51"/>
      <c r="G48" s="144">
        <v>22</v>
      </c>
      <c r="H48" s="209" t="s">
        <v>49</v>
      </c>
      <c r="I48" s="18"/>
      <c r="J48" s="312"/>
      <c r="K48" s="58"/>
    </row>
    <row r="49" spans="2:11" ht="12.75" customHeight="1">
      <c r="B49" s="27" t="s">
        <v>41</v>
      </c>
      <c r="C49" s="61"/>
      <c r="D49" s="52"/>
      <c r="E49" s="52"/>
      <c r="F49" s="52"/>
      <c r="G49" s="145">
        <v>2</v>
      </c>
      <c r="H49" s="210" t="s">
        <v>6</v>
      </c>
      <c r="I49" s="18"/>
      <c r="J49" s="312"/>
      <c r="K49" s="58"/>
    </row>
    <row r="50" spans="2:11" ht="12.75" customHeight="1">
      <c r="B50" s="27" t="s">
        <v>42</v>
      </c>
      <c r="C50" s="61"/>
      <c r="D50" s="52"/>
      <c r="E50" s="52"/>
      <c r="F50" s="52"/>
      <c r="G50" s="145">
        <v>1</v>
      </c>
      <c r="H50" s="210" t="s">
        <v>6</v>
      </c>
      <c r="I50" s="18"/>
      <c r="J50" s="312"/>
      <c r="K50" s="58"/>
    </row>
    <row r="51" spans="2:11" ht="12.75" customHeight="1">
      <c r="B51" s="27" t="s">
        <v>43</v>
      </c>
      <c r="C51" s="52"/>
      <c r="D51" s="52"/>
      <c r="E51" s="52"/>
      <c r="F51" s="52"/>
      <c r="G51" s="145">
        <v>2</v>
      </c>
      <c r="H51" s="210" t="s">
        <v>6</v>
      </c>
      <c r="I51" s="18"/>
      <c r="J51" s="312"/>
      <c r="K51" s="58"/>
    </row>
    <row r="52" spans="1:11" ht="4.5" customHeight="1">
      <c r="A52" s="41"/>
      <c r="B52" s="41"/>
      <c r="C52" s="41"/>
      <c r="D52" s="1"/>
      <c r="E52" s="1"/>
      <c r="F52" s="1"/>
      <c r="G52" s="211"/>
      <c r="H52" s="211"/>
      <c r="I52" s="57"/>
      <c r="J52" s="312"/>
      <c r="K52" s="58"/>
    </row>
    <row r="53" spans="2:11" ht="12.75" customHeight="1">
      <c r="B53" s="25" t="s">
        <v>15</v>
      </c>
      <c r="C53" s="1"/>
      <c r="D53" s="212"/>
      <c r="E53" s="213"/>
      <c r="F53" s="213"/>
      <c r="G53" s="146">
        <v>0</v>
      </c>
      <c r="H53" s="213"/>
      <c r="J53" s="312"/>
      <c r="K53" s="1"/>
    </row>
    <row r="54" spans="1:11" ht="4.5" customHeight="1">
      <c r="A54" s="41"/>
      <c r="B54" s="41"/>
      <c r="C54" s="1"/>
      <c r="D54" s="213"/>
      <c r="E54" s="213"/>
      <c r="F54" s="213"/>
      <c r="G54" s="213"/>
      <c r="H54" s="213"/>
      <c r="I54" s="53"/>
      <c r="J54" s="312"/>
      <c r="K54" s="1"/>
    </row>
    <row r="55" spans="2:11" ht="12.75" customHeight="1">
      <c r="B55" s="25" t="s">
        <v>39</v>
      </c>
      <c r="C55" s="1"/>
      <c r="D55" s="212"/>
      <c r="E55" s="213"/>
      <c r="F55" s="213"/>
      <c r="G55" s="214">
        <f>SUM(G48:G53)</f>
        <v>27</v>
      </c>
      <c r="H55" s="213"/>
      <c r="J55" s="312"/>
      <c r="K55" s="1"/>
    </row>
    <row r="56" spans="2:11" ht="12.75" customHeight="1">
      <c r="B56" s="41"/>
      <c r="C56" s="1"/>
      <c r="D56" s="213"/>
      <c r="E56" s="213"/>
      <c r="F56" s="213"/>
      <c r="G56" s="213"/>
      <c r="H56" s="213"/>
      <c r="I56" s="53"/>
      <c r="J56" s="312"/>
      <c r="K56" s="1"/>
    </row>
    <row r="57" spans="1:11" ht="12.75" customHeight="1">
      <c r="A57" s="205" t="s">
        <v>16</v>
      </c>
      <c r="B57" s="205"/>
      <c r="C57" s="206"/>
      <c r="D57" s="206"/>
      <c r="E57" s="206"/>
      <c r="F57" s="206"/>
      <c r="G57" s="206"/>
      <c r="H57" s="206"/>
      <c r="I57" s="307"/>
      <c r="J57" s="1"/>
      <c r="K57" s="17"/>
    </row>
    <row r="58" spans="1:11" ht="4.5" customHeight="1">
      <c r="A58" s="215"/>
      <c r="B58" s="215"/>
      <c r="C58" s="215"/>
      <c r="D58" s="215"/>
      <c r="J58" s="1"/>
      <c r="K58" s="17"/>
    </row>
    <row r="59" spans="1:11" ht="12.75" customHeight="1">
      <c r="A59" s="216" t="s">
        <v>64</v>
      </c>
      <c r="B59" s="216"/>
      <c r="C59" s="1"/>
      <c r="G59" s="261">
        <f>J40</f>
        <v>22160000</v>
      </c>
      <c r="J59" s="1"/>
      <c r="K59" s="17"/>
    </row>
    <row r="60" spans="1:11" ht="12.75" customHeight="1">
      <c r="A60" s="24" t="s">
        <v>85</v>
      </c>
      <c r="B60" s="28"/>
      <c r="C60" s="28"/>
      <c r="D60" s="1"/>
      <c r="E60" s="1"/>
      <c r="F60" s="1"/>
      <c r="G60" s="147">
        <v>9500</v>
      </c>
      <c r="J60" s="313"/>
      <c r="K60" s="17"/>
    </row>
    <row r="61" spans="1:11" ht="12.75" customHeight="1">
      <c r="A61" s="24" t="s">
        <v>86</v>
      </c>
      <c r="B61" s="28"/>
      <c r="C61" s="28"/>
      <c r="D61" s="1"/>
      <c r="E61" s="1"/>
      <c r="F61" s="1"/>
      <c r="G61" s="147">
        <v>1000</v>
      </c>
      <c r="J61" s="313"/>
      <c r="K61" s="17"/>
    </row>
    <row r="62" spans="1:11" ht="7.5" customHeight="1">
      <c r="A62" s="24"/>
      <c r="B62" s="28"/>
      <c r="C62" s="28"/>
      <c r="D62" s="1"/>
      <c r="E62" s="1"/>
      <c r="F62" s="1"/>
      <c r="G62" s="138"/>
      <c r="J62" s="313"/>
      <c r="K62" s="17"/>
    </row>
    <row r="63" spans="1:11" s="267" customFormat="1" ht="13.5" customHeight="1">
      <c r="A63" s="266" t="s">
        <v>62</v>
      </c>
      <c r="B63" s="266"/>
      <c r="C63" s="266"/>
      <c r="G63" s="269">
        <f>0.057*G55+0.367</f>
        <v>1.91</v>
      </c>
      <c r="H63" s="270"/>
      <c r="I63" s="8"/>
      <c r="J63" s="314"/>
      <c r="K63" s="17"/>
    </row>
    <row r="64" spans="1:11" ht="4.5" customHeight="1">
      <c r="A64" s="28"/>
      <c r="B64" s="28"/>
      <c r="C64" s="28"/>
      <c r="D64" s="1"/>
      <c r="E64" s="1"/>
      <c r="F64" s="1"/>
      <c r="G64" s="39"/>
      <c r="H64" s="148"/>
      <c r="J64" s="313"/>
      <c r="K64" s="17"/>
    </row>
    <row r="65" spans="1:11" s="267" customFormat="1" ht="13.5" customHeight="1">
      <c r="A65" s="266" t="s">
        <v>63</v>
      </c>
      <c r="B65" s="266"/>
      <c r="C65" s="266"/>
      <c r="G65" s="276">
        <f>ROUND(439.8031*G59^(-0.476)*G63/100,6)</f>
        <v>0.002678</v>
      </c>
      <c r="H65" s="268" t="s">
        <v>83</v>
      </c>
      <c r="I65" s="8"/>
      <c r="J65" s="314"/>
      <c r="K65" s="17"/>
    </row>
    <row r="66" spans="1:11" s="267" customFormat="1" ht="13.5" customHeight="1">
      <c r="A66" s="28" t="s">
        <v>102</v>
      </c>
      <c r="B66" s="28"/>
      <c r="C66" s="28"/>
      <c r="D66" s="1"/>
      <c r="E66" s="1"/>
      <c r="F66" s="1"/>
      <c r="G66" s="315">
        <v>0</v>
      </c>
      <c r="H66" s="316"/>
      <c r="I66" s="8"/>
      <c r="J66" s="313"/>
      <c r="K66" s="17"/>
    </row>
    <row r="67" spans="1:11" ht="7.5" customHeight="1">
      <c r="A67" s="28"/>
      <c r="B67" s="28"/>
      <c r="C67" s="28"/>
      <c r="D67" s="1"/>
      <c r="E67" s="1"/>
      <c r="F67" s="1"/>
      <c r="G67" s="217"/>
      <c r="H67" s="217"/>
      <c r="J67" s="313"/>
      <c r="K67" s="17"/>
    </row>
    <row r="68" spans="1:11" ht="28.5" customHeight="1">
      <c r="A68" s="478" t="s">
        <v>107</v>
      </c>
      <c r="B68" s="478"/>
      <c r="C68" s="478"/>
      <c r="D68" s="478"/>
      <c r="E68" s="478"/>
      <c r="F68" s="478"/>
      <c r="G68" s="478"/>
      <c r="H68" s="325">
        <f>G59*G65/G60*G61*(1+G66)</f>
        <v>6247</v>
      </c>
      <c r="I68" s="65"/>
      <c r="J68" s="1"/>
      <c r="K68" s="17"/>
    </row>
    <row r="69" spans="1:11" ht="12.75" customHeight="1">
      <c r="A69" s="40"/>
      <c r="B69" s="41"/>
      <c r="C69" s="41"/>
      <c r="D69" s="221"/>
      <c r="E69" s="466" t="s">
        <v>222</v>
      </c>
      <c r="F69" s="464"/>
      <c r="G69" s="465" t="s">
        <v>5</v>
      </c>
      <c r="H69" s="222"/>
      <c r="I69" s="57"/>
      <c r="J69" s="42"/>
      <c r="K69" s="17"/>
    </row>
    <row r="70" spans="1:10" ht="12.75" customHeight="1">
      <c r="A70" s="223" t="s">
        <v>76</v>
      </c>
      <c r="B70" s="223"/>
      <c r="C70" s="224"/>
      <c r="D70" s="1"/>
      <c r="E70" s="462">
        <v>0.03</v>
      </c>
      <c r="F70" s="225"/>
      <c r="G70" s="242">
        <v>0.03</v>
      </c>
      <c r="H70" s="275">
        <f>$H$68*G70</f>
        <v>187</v>
      </c>
      <c r="I70" s="53"/>
      <c r="J70" s="313"/>
    </row>
    <row r="71" spans="1:10" ht="12.75" customHeight="1">
      <c r="A71" s="223" t="s">
        <v>34</v>
      </c>
      <c r="B71" s="223"/>
      <c r="C71" s="224"/>
      <c r="D71" s="1"/>
      <c r="E71" s="462">
        <v>0.17</v>
      </c>
      <c r="F71" s="225"/>
      <c r="G71" s="243">
        <v>0.17</v>
      </c>
      <c r="H71" s="275">
        <f aca="true" t="shared" si="1" ref="H71:H79">$H$68*G71</f>
        <v>1062</v>
      </c>
      <c r="I71" s="53"/>
      <c r="J71" s="191"/>
    </row>
    <row r="72" spans="1:10" ht="12.75" customHeight="1">
      <c r="A72" s="223" t="s">
        <v>35</v>
      </c>
      <c r="B72" s="223"/>
      <c r="C72" s="224"/>
      <c r="D72" s="1"/>
      <c r="E72" s="462">
        <v>0.35</v>
      </c>
      <c r="F72" s="225"/>
      <c r="G72" s="243">
        <v>0.35</v>
      </c>
      <c r="H72" s="275">
        <f t="shared" si="1"/>
        <v>2186</v>
      </c>
      <c r="I72" s="53"/>
      <c r="J72" s="191"/>
    </row>
    <row r="73" spans="1:10" ht="12.75" customHeight="1">
      <c r="A73" s="223" t="s">
        <v>36</v>
      </c>
      <c r="B73" s="223"/>
      <c r="C73" s="224"/>
      <c r="D73" s="1"/>
      <c r="E73" s="462">
        <v>0.05</v>
      </c>
      <c r="F73" s="225"/>
      <c r="G73" s="243">
        <v>0.05</v>
      </c>
      <c r="H73" s="275">
        <f t="shared" si="1"/>
        <v>312</v>
      </c>
      <c r="I73" s="53"/>
      <c r="J73" s="191"/>
    </row>
    <row r="74" spans="1:10" ht="12.75" customHeight="1">
      <c r="A74" s="223" t="s">
        <v>53</v>
      </c>
      <c r="B74" s="223"/>
      <c r="C74" s="224"/>
      <c r="D74" s="1"/>
      <c r="E74" s="462">
        <v>0.27</v>
      </c>
      <c r="F74" s="225"/>
      <c r="G74" s="243">
        <v>0.27</v>
      </c>
      <c r="H74" s="275">
        <f t="shared" si="1"/>
        <v>1687</v>
      </c>
      <c r="I74" s="53"/>
      <c r="J74" s="191"/>
    </row>
    <row r="75" spans="1:10" ht="12.75" customHeight="1">
      <c r="A75" s="223" t="s">
        <v>37</v>
      </c>
      <c r="B75" s="223"/>
      <c r="C75" s="224"/>
      <c r="D75" s="1"/>
      <c r="E75" s="462">
        <v>0.02</v>
      </c>
      <c r="F75" s="225"/>
      <c r="G75" s="243">
        <v>0.02</v>
      </c>
      <c r="H75" s="275">
        <f t="shared" si="1"/>
        <v>125</v>
      </c>
      <c r="I75" s="53"/>
      <c r="J75" s="191"/>
    </row>
    <row r="76" spans="1:10" ht="12.75" customHeight="1">
      <c r="A76" s="223" t="s">
        <v>50</v>
      </c>
      <c r="B76" s="223"/>
      <c r="C76" s="224"/>
      <c r="D76" s="1"/>
      <c r="E76" s="462">
        <v>0.02</v>
      </c>
      <c r="F76" s="225"/>
      <c r="G76" s="243">
        <v>0.02</v>
      </c>
      <c r="H76" s="275">
        <f t="shared" si="1"/>
        <v>125</v>
      </c>
      <c r="I76" s="53"/>
      <c r="J76" s="191"/>
    </row>
    <row r="77" spans="1:10" ht="12.75" customHeight="1">
      <c r="A77" s="223" t="s">
        <v>47</v>
      </c>
      <c r="B77" s="223"/>
      <c r="C77" s="224"/>
      <c r="D77" s="1"/>
      <c r="E77" s="462">
        <v>0.09</v>
      </c>
      <c r="F77" s="225"/>
      <c r="G77" s="243">
        <v>0.09</v>
      </c>
      <c r="H77" s="277">
        <f t="shared" si="1"/>
        <v>562</v>
      </c>
      <c r="I77" s="479" t="s">
        <v>108</v>
      </c>
      <c r="J77" s="479"/>
    </row>
    <row r="78" spans="1:10" ht="12.75" customHeight="1">
      <c r="A78" s="203" t="s">
        <v>54</v>
      </c>
      <c r="B78" s="203"/>
      <c r="C78" s="224"/>
      <c r="D78" s="1"/>
      <c r="E78" s="462">
        <v>0</v>
      </c>
      <c r="F78" s="225"/>
      <c r="G78" s="243">
        <v>0</v>
      </c>
      <c r="H78" s="275">
        <f t="shared" si="1"/>
        <v>0</v>
      </c>
      <c r="I78" s="479"/>
      <c r="J78" s="479"/>
    </row>
    <row r="79" spans="1:10" ht="12.75" customHeight="1">
      <c r="A79" s="226" t="s">
        <v>48</v>
      </c>
      <c r="B79" s="226"/>
      <c r="C79" s="227"/>
      <c r="D79" s="51"/>
      <c r="E79" s="463">
        <v>0</v>
      </c>
      <c r="F79" s="228"/>
      <c r="G79" s="244">
        <v>0</v>
      </c>
      <c r="H79" s="326">
        <f t="shared" si="1"/>
        <v>0</v>
      </c>
      <c r="I79" s="327"/>
      <c r="J79" s="273"/>
    </row>
    <row r="80" spans="1:11" s="267" customFormat="1" ht="13.5" customHeight="1">
      <c r="A80" s="319" t="s">
        <v>38</v>
      </c>
      <c r="B80" s="203"/>
      <c r="C80" s="28"/>
      <c r="D80" s="1"/>
      <c r="E80" s="320"/>
      <c r="F80" s="320"/>
      <c r="G80" s="321">
        <f>SUM(G70:G79)</f>
        <v>1</v>
      </c>
      <c r="H80" s="328">
        <f>SUM(H70:H79)</f>
        <v>6246</v>
      </c>
      <c r="I80" s="8"/>
      <c r="J80" s="135">
        <f>H80-H77</f>
        <v>5684</v>
      </c>
      <c r="K80" s="274"/>
    </row>
    <row r="81" spans="7:10" ht="12.75" customHeight="1">
      <c r="G81" s="322"/>
      <c r="J81" s="191"/>
    </row>
    <row r="82" spans="1:14" ht="12.75" customHeight="1">
      <c r="A82" s="48" t="s">
        <v>88</v>
      </c>
      <c r="G82" s="271">
        <v>30</v>
      </c>
      <c r="H82" s="272">
        <v>95</v>
      </c>
      <c r="J82" s="135">
        <f>G82*H82</f>
        <v>2850</v>
      </c>
      <c r="L82" s="44"/>
      <c r="M82" s="44"/>
      <c r="N82" s="44"/>
    </row>
    <row r="83" spans="7:10" ht="12.75" customHeight="1">
      <c r="G83" s="322"/>
      <c r="J83" s="191"/>
    </row>
    <row r="84" spans="1:11" s="32" customFormat="1" ht="12.75">
      <c r="A84" s="130" t="s">
        <v>109</v>
      </c>
      <c r="B84" s="131"/>
      <c r="C84" s="132"/>
      <c r="D84" s="132"/>
      <c r="E84" s="133"/>
      <c r="F84" s="134"/>
      <c r="G84" s="323"/>
      <c r="H84" s="133"/>
      <c r="I84" s="133"/>
      <c r="J84" s="135">
        <f>J80+J82</f>
        <v>8534</v>
      </c>
      <c r="K84" s="36"/>
    </row>
    <row r="85" spans="2:11" s="32" customFormat="1" ht="4.5" customHeight="1">
      <c r="B85" s="33"/>
      <c r="C85" s="34"/>
      <c r="D85" s="34"/>
      <c r="E85" s="66"/>
      <c r="F85" s="67"/>
      <c r="G85" s="247"/>
      <c r="H85" s="92"/>
      <c r="J85" s="124"/>
      <c r="K85" s="36"/>
    </row>
    <row r="86" spans="1:11" s="32" customFormat="1" ht="12.75">
      <c r="A86" s="69" t="s">
        <v>13</v>
      </c>
      <c r="B86" s="33"/>
      <c r="C86" s="34"/>
      <c r="D86" s="34"/>
      <c r="E86" s="77"/>
      <c r="F86" s="77"/>
      <c r="G86" s="248">
        <v>0.04</v>
      </c>
      <c r="H86" s="93"/>
      <c r="I86" s="37"/>
      <c r="J86" s="125">
        <f>ROUND(J84*G86,2)</f>
        <v>341</v>
      </c>
      <c r="K86" s="36"/>
    </row>
    <row r="87" spans="1:11" s="32" customFormat="1" ht="3" customHeight="1">
      <c r="A87" s="70"/>
      <c r="B87" s="71"/>
      <c r="C87" s="72"/>
      <c r="D87" s="72"/>
      <c r="E87" s="79"/>
      <c r="F87" s="79"/>
      <c r="G87" s="249"/>
      <c r="H87" s="94"/>
      <c r="I87" s="70"/>
      <c r="J87" s="126"/>
      <c r="K87" s="36"/>
    </row>
    <row r="88" spans="2:11" s="32" customFormat="1" ht="3" customHeight="1">
      <c r="B88" s="33"/>
      <c r="C88" s="34"/>
      <c r="D88" s="34"/>
      <c r="E88" s="81"/>
      <c r="F88" s="81"/>
      <c r="G88" s="250"/>
      <c r="H88" s="95"/>
      <c r="I88" s="82"/>
      <c r="J88" s="124"/>
      <c r="K88" s="36"/>
    </row>
    <row r="89" spans="1:11" s="32" customFormat="1" ht="12.75">
      <c r="A89" s="74" t="s">
        <v>70</v>
      </c>
      <c r="B89" s="75"/>
      <c r="C89" s="76"/>
      <c r="D89" s="76"/>
      <c r="E89" s="35"/>
      <c r="F89" s="35"/>
      <c r="G89" s="251"/>
      <c r="H89" s="93"/>
      <c r="I89" s="37"/>
      <c r="J89" s="127">
        <f>J84+J86</f>
        <v>8875</v>
      </c>
      <c r="K89" s="36"/>
    </row>
    <row r="90" spans="1:11" s="32" customFormat="1" ht="12.75">
      <c r="A90" s="32" t="s">
        <v>14</v>
      </c>
      <c r="B90" s="33"/>
      <c r="D90" s="34"/>
      <c r="E90" s="73"/>
      <c r="F90" s="73"/>
      <c r="G90" s="38">
        <v>0.2</v>
      </c>
      <c r="H90" s="38"/>
      <c r="J90" s="128">
        <f>ROUND(J89*G90,2)</f>
        <v>1775</v>
      </c>
      <c r="K90" s="36"/>
    </row>
    <row r="91" spans="1:11" s="32" customFormat="1" ht="3" customHeight="1">
      <c r="A91" s="37"/>
      <c r="B91" s="252"/>
      <c r="C91" s="80"/>
      <c r="D91" s="80"/>
      <c r="E91" s="73"/>
      <c r="F91" s="73"/>
      <c r="G91" s="247"/>
      <c r="H91" s="92"/>
      <c r="J91" s="129"/>
      <c r="K91" s="36"/>
    </row>
    <row r="92" spans="1:11" s="37" customFormat="1" ht="12.75">
      <c r="A92" s="253" t="s">
        <v>65</v>
      </c>
      <c r="B92" s="254"/>
      <c r="C92" s="255"/>
      <c r="D92" s="255"/>
      <c r="E92" s="256"/>
      <c r="F92" s="257"/>
      <c r="G92" s="258"/>
      <c r="H92" s="258"/>
      <c r="I92" s="256"/>
      <c r="J92" s="259">
        <f>SUM(J88:J90)</f>
        <v>10650</v>
      </c>
      <c r="K92" s="36"/>
    </row>
    <row r="93" ht="4.5" customHeight="1"/>
    <row r="94" spans="1:7" ht="12.75">
      <c r="A94" s="260" t="s">
        <v>84</v>
      </c>
      <c r="G94" s="324">
        <f>J89/G36</f>
        <v>0.000301</v>
      </c>
    </row>
  </sheetData>
  <sheetProtection password="D2DC" sheet="1"/>
  <mergeCells count="24">
    <mergeCell ref="A68:G68"/>
    <mergeCell ref="I77:J78"/>
    <mergeCell ref="A30:B30"/>
    <mergeCell ref="A21:B21"/>
    <mergeCell ref="A32:B32"/>
    <mergeCell ref="A34:B34"/>
    <mergeCell ref="A25:B25"/>
    <mergeCell ref="A23:B23"/>
    <mergeCell ref="A18:B18"/>
    <mergeCell ref="A19:B19"/>
    <mergeCell ref="A38:B38"/>
    <mergeCell ref="A14:B14"/>
    <mergeCell ref="A15:B15"/>
    <mergeCell ref="A26:B26"/>
    <mergeCell ref="A28:B28"/>
    <mergeCell ref="A17:B17"/>
    <mergeCell ref="A24:B24"/>
    <mergeCell ref="A16:B16"/>
    <mergeCell ref="I2:J2"/>
    <mergeCell ref="A7:B7"/>
    <mergeCell ref="A9:B9"/>
    <mergeCell ref="A11:B11"/>
    <mergeCell ref="A12:B12"/>
    <mergeCell ref="A13:B13"/>
  </mergeCells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2"/>
  <headerFooter>
    <oddHeader>&amp;L&amp;"Arial,Fett"&amp;K01+034Angebot Bauphysik + Brandschutz &amp;A
&amp;"Arial,Standard"nach VM.BP.2014&amp;R&amp;"Arial,Standard"&amp;K01+035Version 5
Stand: 07.01.2020</oddHeader>
    <oddFooter>&amp;L&amp;"Arial,Fett"&amp;K01+040LM.VM.2014 &amp;"Arial,Standard" |  Bauphysik &amp;A  |  Angebotsformular&amp;R&amp;"Arial,Standard"&amp;K01+040&amp;P/&amp;N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tabColor theme="6" tint="0.7999799847602844"/>
  </sheetPr>
  <dimension ref="A1:M34"/>
  <sheetViews>
    <sheetView showGridLines="0" view="pageBreakPreview" zoomScaleSheetLayoutView="100" zoomScalePageLayoutView="70" workbookViewId="0" topLeftCell="A1">
      <selection activeCell="F5" sqref="F5:G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57421875" style="6" customWidth="1"/>
    <col min="4" max="4" width="33.7109375" style="7" customWidth="1"/>
    <col min="5" max="5" width="9.8515625" style="43" customWidth="1"/>
    <col min="6" max="6" width="14.7109375" style="43" customWidth="1"/>
    <col min="7" max="7" width="2.7109375" style="7" customWidth="1"/>
    <col min="8" max="8" width="11.28125" style="43" customWidth="1"/>
    <col min="9" max="9" width="14.7109375" style="8" customWidth="1" collapsed="1"/>
    <col min="10" max="10" width="2.7109375" style="9" customWidth="1"/>
    <col min="11" max="16384" width="11.57421875" style="1" customWidth="1"/>
  </cols>
  <sheetData>
    <row r="1" spans="6:13" ht="4.5" customHeight="1">
      <c r="F1" s="7"/>
      <c r="G1" s="43"/>
      <c r="H1" s="8"/>
      <c r="I1" s="9"/>
      <c r="J1" s="59"/>
      <c r="K1"/>
      <c r="L1"/>
      <c r="M1"/>
    </row>
    <row r="2" spans="1:13" s="54" customFormat="1" ht="34.5" customHeight="1">
      <c r="A2" s="139"/>
      <c r="C2" s="12"/>
      <c r="D2" s="102"/>
      <c r="F2" s="55"/>
      <c r="G2" s="55"/>
      <c r="H2" s="480" t="s">
        <v>110</v>
      </c>
      <c r="I2" s="481"/>
      <c r="J2" s="62"/>
      <c r="K2" s="56"/>
      <c r="L2" s="56"/>
      <c r="M2" s="56"/>
    </row>
    <row r="3" spans="1:11" s="330" customFormat="1" ht="12.75" customHeight="1">
      <c r="A3" s="279" t="s">
        <v>111</v>
      </c>
      <c r="B3" s="279"/>
      <c r="C3" s="279"/>
      <c r="D3" s="279"/>
      <c r="E3" s="279"/>
      <c r="F3" s="279"/>
      <c r="G3" s="279"/>
      <c r="H3" s="279"/>
      <c r="I3" s="279"/>
      <c r="J3" s="329"/>
      <c r="K3" s="298"/>
    </row>
    <row r="4" spans="9:10" s="10" customFormat="1" ht="6" customHeight="1">
      <c r="I4" s="2"/>
      <c r="J4" s="2"/>
    </row>
    <row r="5" spans="1:10" s="10" customFormat="1" ht="12.75" customHeight="1">
      <c r="A5" s="331" t="s">
        <v>112</v>
      </c>
      <c r="E5" s="99"/>
      <c r="F5" s="45"/>
      <c r="G5" s="45"/>
      <c r="H5" s="15"/>
      <c r="I5" s="122"/>
      <c r="J5" s="45"/>
    </row>
    <row r="6" spans="6:10" s="10" customFormat="1" ht="6" customHeight="1">
      <c r="F6" s="97"/>
      <c r="I6" s="2"/>
      <c r="J6" s="2"/>
    </row>
    <row r="7" spans="1:10" s="11" customFormat="1" ht="12.75" customHeight="1">
      <c r="A7" s="482"/>
      <c r="B7" s="482"/>
      <c r="C7" s="156" t="s">
        <v>113</v>
      </c>
      <c r="D7" s="156"/>
      <c r="E7" s="166"/>
      <c r="F7" s="333"/>
      <c r="G7" s="334"/>
      <c r="H7" s="334"/>
      <c r="I7" s="335">
        <f>F7*H7</f>
        <v>0</v>
      </c>
      <c r="J7" s="50"/>
    </row>
    <row r="8" spans="1:10" s="11" customFormat="1" ht="12.75" customHeight="1">
      <c r="A8" s="482"/>
      <c r="B8" s="482"/>
      <c r="C8" s="336" t="s">
        <v>114</v>
      </c>
      <c r="D8" s="336"/>
      <c r="E8" s="337"/>
      <c r="F8" s="338"/>
      <c r="G8" s="339"/>
      <c r="H8" s="339"/>
      <c r="I8" s="335">
        <f>F8*H8</f>
        <v>0</v>
      </c>
      <c r="J8" s="50"/>
    </row>
    <row r="9" spans="1:10" s="11" customFormat="1" ht="12.75" customHeight="1">
      <c r="A9" s="332"/>
      <c r="B9" s="332"/>
      <c r="C9" s="336" t="s">
        <v>115</v>
      </c>
      <c r="D9" s="336"/>
      <c r="E9" s="337"/>
      <c r="F9" s="338"/>
      <c r="G9" s="339"/>
      <c r="H9" s="339"/>
      <c r="I9" s="335">
        <v>0</v>
      </c>
      <c r="J9" s="50"/>
    </row>
    <row r="10" spans="1:10" s="11" customFormat="1" ht="13.5" customHeight="1">
      <c r="A10" s="332"/>
      <c r="B10" s="332"/>
      <c r="C10" s="336" t="s">
        <v>116</v>
      </c>
      <c r="D10" s="336"/>
      <c r="E10" s="337"/>
      <c r="F10" s="338"/>
      <c r="G10" s="339"/>
      <c r="H10" s="339"/>
      <c r="I10" s="335">
        <v>0</v>
      </c>
      <c r="J10" s="50"/>
    </row>
    <row r="11" spans="1:10" s="11" customFormat="1" ht="13.5" customHeight="1">
      <c r="A11" s="332"/>
      <c r="B11" s="332"/>
      <c r="C11" s="340" t="s">
        <v>117</v>
      </c>
      <c r="D11" s="340"/>
      <c r="E11" s="341"/>
      <c r="F11" s="342"/>
      <c r="G11" s="343"/>
      <c r="H11" s="343"/>
      <c r="I11" s="335">
        <v>0</v>
      </c>
      <c r="J11" s="50"/>
    </row>
    <row r="12" spans="1:10" s="10" customFormat="1" ht="12.75" customHeight="1">
      <c r="A12" s="332"/>
      <c r="B12" s="332"/>
      <c r="C12" s="344" t="s">
        <v>118</v>
      </c>
      <c r="D12" s="344"/>
      <c r="E12" s="345"/>
      <c r="F12" s="346"/>
      <c r="G12" s="347"/>
      <c r="H12" s="347"/>
      <c r="I12" s="335">
        <f>F12*H12</f>
        <v>0</v>
      </c>
      <c r="J12" s="50"/>
    </row>
    <row r="13" spans="1:10" s="11" customFormat="1" ht="12.75" customHeight="1">
      <c r="A13" s="332"/>
      <c r="B13" s="332"/>
      <c r="C13" s="336" t="s">
        <v>119</v>
      </c>
      <c r="D13" s="336"/>
      <c r="E13" s="337"/>
      <c r="F13" s="338"/>
      <c r="G13" s="339"/>
      <c r="H13" s="339"/>
      <c r="I13" s="335">
        <v>0</v>
      </c>
      <c r="J13" s="50"/>
    </row>
    <row r="14" spans="1:10" s="11" customFormat="1" ht="12.75" customHeight="1">
      <c r="A14" s="332"/>
      <c r="B14" s="332"/>
      <c r="C14" s="336" t="s">
        <v>120</v>
      </c>
      <c r="D14" s="336"/>
      <c r="E14" s="337"/>
      <c r="F14" s="338"/>
      <c r="G14" s="339"/>
      <c r="H14" s="339"/>
      <c r="I14" s="335">
        <v>0</v>
      </c>
      <c r="J14" s="50"/>
    </row>
    <row r="15" spans="1:10" s="11" customFormat="1" ht="12.75" customHeight="1">
      <c r="A15" s="332"/>
      <c r="B15" s="332"/>
      <c r="C15" s="336" t="s">
        <v>121</v>
      </c>
      <c r="D15" s="348"/>
      <c r="E15" s="337"/>
      <c r="F15" s="338"/>
      <c r="G15" s="339"/>
      <c r="H15" s="339"/>
      <c r="I15" s="335">
        <v>0</v>
      </c>
      <c r="J15" s="50"/>
    </row>
    <row r="16" spans="1:10" s="10" customFormat="1" ht="12.75" customHeight="1">
      <c r="A16" s="482"/>
      <c r="B16" s="482"/>
      <c r="C16" s="336" t="s">
        <v>122</v>
      </c>
      <c r="D16" s="348"/>
      <c r="E16" s="337"/>
      <c r="F16" s="338"/>
      <c r="G16" s="339"/>
      <c r="H16" s="339"/>
      <c r="I16" s="335">
        <f>F16*H16</f>
        <v>0</v>
      </c>
      <c r="J16" s="50"/>
    </row>
    <row r="17" spans="1:10" s="10" customFormat="1" ht="12.75" customHeight="1">
      <c r="A17" s="482"/>
      <c r="B17" s="482"/>
      <c r="C17" s="336" t="s">
        <v>123</v>
      </c>
      <c r="D17" s="340"/>
      <c r="E17" s="341"/>
      <c r="F17" s="342"/>
      <c r="G17" s="343"/>
      <c r="H17" s="343"/>
      <c r="I17" s="335">
        <v>0</v>
      </c>
      <c r="J17" s="50"/>
    </row>
    <row r="18" spans="1:10" s="10" customFormat="1" ht="12.75" customHeight="1">
      <c r="A18" s="332"/>
      <c r="B18" s="332"/>
      <c r="C18" s="340" t="s">
        <v>124</v>
      </c>
      <c r="D18" s="340"/>
      <c r="E18" s="341"/>
      <c r="F18" s="342"/>
      <c r="G18" s="343"/>
      <c r="H18" s="343"/>
      <c r="I18" s="335">
        <f>F18*H18</f>
        <v>0</v>
      </c>
      <c r="J18" s="50"/>
    </row>
    <row r="19" spans="1:10" s="10" customFormat="1" ht="12.75" customHeight="1">
      <c r="A19" s="332"/>
      <c r="B19" s="332"/>
      <c r="C19" s="344" t="s">
        <v>125</v>
      </c>
      <c r="D19" s="344"/>
      <c r="E19" s="345"/>
      <c r="F19" s="346"/>
      <c r="G19" s="347"/>
      <c r="H19" s="347"/>
      <c r="I19" s="335">
        <f>F19*H19</f>
        <v>0</v>
      </c>
      <c r="J19" s="50"/>
    </row>
    <row r="20" spans="1:10" s="10" customFormat="1" ht="12.75" customHeight="1">
      <c r="A20" s="332"/>
      <c r="B20" s="332"/>
      <c r="C20" s="349"/>
      <c r="D20" s="331"/>
      <c r="E20" s="170"/>
      <c r="F20" s="350"/>
      <c r="G20" s="351"/>
      <c r="H20" s="351"/>
      <c r="I20" s="352"/>
      <c r="J20" s="50"/>
    </row>
    <row r="21" spans="2:9" s="10" customFormat="1" ht="12.75" customHeight="1">
      <c r="B21" s="6"/>
      <c r="C21" s="48" t="s">
        <v>88</v>
      </c>
      <c r="D21" s="7"/>
      <c r="E21" s="43"/>
      <c r="F21" s="271">
        <v>0</v>
      </c>
      <c r="G21" s="272"/>
      <c r="H21" s="272">
        <v>0</v>
      </c>
      <c r="I21" s="353">
        <f>F21*H21</f>
        <v>0</v>
      </c>
    </row>
    <row r="22" spans="1:10" s="11" customFormat="1" ht="12.75" customHeight="1">
      <c r="A22" s="482"/>
      <c r="B22" s="482"/>
      <c r="C22" s="354"/>
      <c r="D22" s="355"/>
      <c r="E22" s="170"/>
      <c r="F22" s="151"/>
      <c r="G22" s="2"/>
      <c r="H22" s="356"/>
      <c r="I22" s="151"/>
      <c r="J22" s="50"/>
    </row>
    <row r="23" spans="7:10" ht="4.5" customHeight="1">
      <c r="G23" s="245"/>
      <c r="J23" s="191"/>
    </row>
    <row r="24" spans="1:13" s="32" customFormat="1" ht="12.75">
      <c r="A24" s="130" t="s">
        <v>126</v>
      </c>
      <c r="B24" s="131"/>
      <c r="C24" s="132"/>
      <c r="D24" s="132"/>
      <c r="E24" s="134"/>
      <c r="F24" s="133"/>
      <c r="G24" s="133"/>
      <c r="H24" s="133"/>
      <c r="I24" s="357">
        <f>SUM(I7:I22)</f>
        <v>0</v>
      </c>
      <c r="J24" s="36"/>
      <c r="K24" s="83"/>
      <c r="L24" s="358"/>
      <c r="M24" s="84"/>
    </row>
    <row r="25" spans="2:13" s="32" customFormat="1" ht="4.5" customHeight="1">
      <c r="B25" s="33"/>
      <c r="C25" s="34"/>
      <c r="D25" s="34"/>
      <c r="E25" s="67"/>
      <c r="F25" s="68"/>
      <c r="G25" s="92"/>
      <c r="I25" s="359"/>
      <c r="J25" s="36"/>
      <c r="K25" s="36"/>
      <c r="L25" s="360"/>
      <c r="M25" s="85"/>
    </row>
    <row r="26" spans="1:13" s="32" customFormat="1" ht="12.75">
      <c r="A26" s="69" t="s">
        <v>13</v>
      </c>
      <c r="B26" s="33"/>
      <c r="C26" s="34"/>
      <c r="D26" s="34"/>
      <c r="E26" s="77"/>
      <c r="F26" s="248">
        <v>0.04</v>
      </c>
      <c r="G26" s="93"/>
      <c r="H26" s="37"/>
      <c r="I26" s="361">
        <f>ROUND(I24*F26,2)</f>
        <v>0</v>
      </c>
      <c r="J26" s="36"/>
      <c r="K26" s="86"/>
      <c r="L26" s="360"/>
      <c r="M26" s="85"/>
    </row>
    <row r="27" spans="1:13" s="32" customFormat="1" ht="3" customHeight="1">
      <c r="A27" s="70"/>
      <c r="B27" s="71"/>
      <c r="C27" s="72"/>
      <c r="D27" s="72"/>
      <c r="E27" s="79"/>
      <c r="F27" s="249"/>
      <c r="G27" s="94"/>
      <c r="H27" s="70"/>
      <c r="I27" s="362"/>
      <c r="J27" s="36"/>
      <c r="K27" s="36"/>
      <c r="L27" s="360"/>
      <c r="M27" s="85"/>
    </row>
    <row r="28" spans="2:13" s="32" customFormat="1" ht="3" customHeight="1">
      <c r="B28" s="33"/>
      <c r="C28" s="34"/>
      <c r="D28" s="34"/>
      <c r="E28" s="81"/>
      <c r="F28" s="250"/>
      <c r="G28" s="95"/>
      <c r="H28" s="82"/>
      <c r="I28" s="359"/>
      <c r="J28" s="36"/>
      <c r="K28" s="36"/>
      <c r="L28" s="360"/>
      <c r="M28" s="85"/>
    </row>
    <row r="29" spans="1:13" s="32" customFormat="1" ht="12.75">
      <c r="A29" s="130" t="s">
        <v>127</v>
      </c>
      <c r="B29" s="131"/>
      <c r="C29" s="132"/>
      <c r="D29" s="132"/>
      <c r="E29" s="134"/>
      <c r="F29" s="133"/>
      <c r="G29" s="133"/>
      <c r="H29" s="133"/>
      <c r="I29" s="357">
        <f>SUM(I24:I28)</f>
        <v>0</v>
      </c>
      <c r="J29" s="36"/>
      <c r="K29" s="83"/>
      <c r="L29" s="358"/>
      <c r="M29" s="84"/>
    </row>
    <row r="30" spans="1:13" s="299" customFormat="1" ht="4.5" customHeight="1">
      <c r="A30" s="74"/>
      <c r="B30" s="75"/>
      <c r="C30" s="76"/>
      <c r="D30" s="76"/>
      <c r="E30" s="363"/>
      <c r="I30" s="273"/>
      <c r="J30" s="36"/>
      <c r="K30" s="83"/>
      <c r="L30" s="358"/>
      <c r="M30" s="84"/>
    </row>
    <row r="31" spans="1:13" s="32" customFormat="1" ht="12.75">
      <c r="A31" s="32" t="s">
        <v>14</v>
      </c>
      <c r="B31" s="33"/>
      <c r="D31" s="34"/>
      <c r="E31" s="73"/>
      <c r="F31" s="38">
        <v>0.2</v>
      </c>
      <c r="G31" s="38"/>
      <c r="I31" s="364">
        <f>ROUND(I29*F31,2)</f>
        <v>0</v>
      </c>
      <c r="J31" s="36"/>
      <c r="K31" s="36"/>
      <c r="L31" s="360"/>
      <c r="M31" s="89"/>
    </row>
    <row r="32" spans="1:13" s="32" customFormat="1" ht="3" customHeight="1">
      <c r="A32" s="37"/>
      <c r="B32" s="252"/>
      <c r="C32" s="80"/>
      <c r="D32" s="80"/>
      <c r="E32" s="73"/>
      <c r="F32" s="68"/>
      <c r="G32" s="92"/>
      <c r="I32" s="365"/>
      <c r="J32" s="36"/>
      <c r="K32" s="36"/>
      <c r="L32" s="360"/>
      <c r="M32" s="85"/>
    </row>
    <row r="33" spans="1:13" s="37" customFormat="1" ht="12.75">
      <c r="A33" s="253" t="s">
        <v>128</v>
      </c>
      <c r="B33" s="254"/>
      <c r="C33" s="255"/>
      <c r="D33" s="255"/>
      <c r="E33" s="257"/>
      <c r="F33" s="258"/>
      <c r="G33" s="258"/>
      <c r="H33" s="256"/>
      <c r="I33" s="366">
        <f>SUM(I29:I31)</f>
        <v>0</v>
      </c>
      <c r="J33" s="36"/>
      <c r="K33" s="87"/>
      <c r="L33" s="367"/>
      <c r="M33" s="88"/>
    </row>
    <row r="34" spans="1:13" s="32" customFormat="1" ht="3" customHeight="1">
      <c r="A34" s="37"/>
      <c r="B34" s="252"/>
      <c r="C34" s="80"/>
      <c r="D34" s="80"/>
      <c r="E34" s="73"/>
      <c r="F34" s="68"/>
      <c r="G34" s="92"/>
      <c r="I34" s="365"/>
      <c r="J34" s="36"/>
      <c r="K34" s="36"/>
      <c r="L34" s="360"/>
      <c r="M34" s="85"/>
    </row>
  </sheetData>
  <sheetProtection password="D2DC" sheet="1"/>
  <mergeCells count="6">
    <mergeCell ref="H2:I2"/>
    <mergeCell ref="A7:B7"/>
    <mergeCell ref="A8:B8"/>
    <mergeCell ref="A16:B16"/>
    <mergeCell ref="A17:B17"/>
    <mergeCell ref="A22:B22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geOrder="overThenDown" paperSize="9" scale="74" r:id="rId1"/>
  <headerFooter>
    <oddHeader>&amp;L&amp;"Arial,Fett"&amp;K01+034Angebot Bauphysik + Brandschutz &amp;A
&amp;"Arial,Standard"nach VM.BP.2014&amp;R&amp;"Arial,Standard"&amp;K01+035Version 5
Stand: 07.01.2020</oddHeader>
    <oddFooter>&amp;L&amp;"Arial,Fett"&amp;K01+040LM.VM.2014 &amp;"Arial,Standard" |  Bauphysik &amp;A  |  Angebotsformular&amp;R&amp;"Arial,Standard"&amp;K01+040&amp;P/&amp;N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>
    <tabColor theme="6" tint="0.7999799847602844"/>
  </sheetPr>
  <dimension ref="A2:Q112"/>
  <sheetViews>
    <sheetView showGridLines="0" tabSelected="1" zoomScale="85" zoomScaleNormal="85" zoomScaleSheetLayoutView="100" zoomScalePageLayoutView="85" workbookViewId="0" topLeftCell="A22">
      <selection activeCell="F5" sqref="F5:G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57421875" style="6" customWidth="1"/>
    <col min="4" max="4" width="43.421875" style="7" customWidth="1"/>
    <col min="5" max="5" width="8.421875" style="43" customWidth="1"/>
    <col min="6" max="6" width="4.00390625" style="43" customWidth="1"/>
    <col min="7" max="7" width="8.00390625" style="43" customWidth="1"/>
    <col min="8" max="8" width="4.00390625" style="7" customWidth="1"/>
    <col min="9" max="9" width="8.00390625" style="43" customWidth="1"/>
    <col min="10" max="10" width="4.00390625" style="43" customWidth="1"/>
    <col min="11" max="11" width="8.00390625" style="8" customWidth="1" collapsed="1"/>
    <col min="12" max="12" width="4.00390625" style="8" customWidth="1"/>
    <col min="13" max="13" width="8.00390625" style="9" customWidth="1"/>
    <col min="14" max="14" width="15.28125" style="368" customWidth="1"/>
    <col min="15" max="15" width="5.7109375" style="1" customWidth="1"/>
    <col min="16" max="16384" width="11.57421875" style="1" customWidth="1"/>
  </cols>
  <sheetData>
    <row r="1" ht="4.5" customHeight="1"/>
    <row r="2" spans="3:14" s="54" customFormat="1" ht="34.5" customHeight="1">
      <c r="C2" s="12"/>
      <c r="D2" s="102"/>
      <c r="H2" s="55"/>
      <c r="I2" s="481" t="s">
        <v>129</v>
      </c>
      <c r="J2" s="481"/>
      <c r="K2" s="481"/>
      <c r="L2" s="481"/>
      <c r="M2" s="481"/>
      <c r="N2" s="369"/>
    </row>
    <row r="3" spans="1:14" s="10" customFormat="1" ht="12.75" customHeight="1">
      <c r="A3" s="370" t="s">
        <v>130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  <c r="N3" s="373" t="s">
        <v>131</v>
      </c>
    </row>
    <row r="4" spans="1:14" s="10" customFormat="1" ht="12.75" customHeight="1">
      <c r="A4" s="374"/>
      <c r="F4" s="483" t="s">
        <v>132</v>
      </c>
      <c r="G4" s="483"/>
      <c r="H4" s="484" t="s">
        <v>133</v>
      </c>
      <c r="I4" s="484"/>
      <c r="J4" s="483" t="s">
        <v>134</v>
      </c>
      <c r="K4" s="483"/>
      <c r="L4" s="483" t="s">
        <v>135</v>
      </c>
      <c r="M4" s="483"/>
      <c r="N4" s="373"/>
    </row>
    <row r="5" spans="1:14" s="10" customFormat="1" ht="12.75" customHeight="1">
      <c r="A5" s="375"/>
      <c r="B5" s="375"/>
      <c r="C5" s="375"/>
      <c r="D5" s="375"/>
      <c r="E5" s="376" t="s">
        <v>136</v>
      </c>
      <c r="F5" s="485" t="s">
        <v>137</v>
      </c>
      <c r="G5" s="486"/>
      <c r="H5" s="487" t="s">
        <v>138</v>
      </c>
      <c r="I5" s="487"/>
      <c r="J5" s="485" t="s">
        <v>139</v>
      </c>
      <c r="K5" s="486" t="s">
        <v>140</v>
      </c>
      <c r="L5" s="485" t="s">
        <v>141</v>
      </c>
      <c r="M5" s="486" t="s">
        <v>140</v>
      </c>
      <c r="N5" s="373"/>
    </row>
    <row r="6" spans="1:14" s="10" customFormat="1" ht="14.25" customHeight="1">
      <c r="A6" s="375"/>
      <c r="B6" s="375"/>
      <c r="C6" s="375"/>
      <c r="D6" s="375"/>
      <c r="E6" s="377" t="s">
        <v>142</v>
      </c>
      <c r="F6" s="488">
        <v>900</v>
      </c>
      <c r="G6" s="489"/>
      <c r="H6" s="490">
        <v>800</v>
      </c>
      <c r="I6" s="491"/>
      <c r="J6" s="488">
        <f>200+1500+1100+1700+1700</f>
        <v>6200</v>
      </c>
      <c r="K6" s="489">
        <f>5*1120</f>
        <v>5600</v>
      </c>
      <c r="L6" s="488">
        <v>400</v>
      </c>
      <c r="M6" s="489">
        <f>5*1120</f>
        <v>5600</v>
      </c>
      <c r="N6" s="378"/>
    </row>
    <row r="7" spans="1:14" s="10" customFormat="1" ht="4.5" customHeight="1">
      <c r="A7" s="374"/>
      <c r="F7" s="379"/>
      <c r="G7" s="379"/>
      <c r="H7" s="380"/>
      <c r="I7" s="380"/>
      <c r="J7" s="380"/>
      <c r="K7" s="379"/>
      <c r="L7" s="379"/>
      <c r="M7" s="379"/>
      <c r="N7" s="373"/>
    </row>
    <row r="8" spans="1:14" s="10" customFormat="1" ht="12.75" customHeight="1">
      <c r="A8" s="370" t="s">
        <v>143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373" t="s">
        <v>131</v>
      </c>
    </row>
    <row r="9" spans="1:14" s="10" customFormat="1" ht="12.75" customHeight="1">
      <c r="A9" s="376"/>
      <c r="E9" s="376" t="s">
        <v>144</v>
      </c>
      <c r="F9" s="483" t="s">
        <v>145</v>
      </c>
      <c r="G9" s="483"/>
      <c r="H9" s="484"/>
      <c r="I9" s="484" t="s">
        <v>146</v>
      </c>
      <c r="J9" s="483"/>
      <c r="K9" s="483"/>
      <c r="L9" s="483"/>
      <c r="M9" s="483"/>
      <c r="N9" s="45"/>
    </row>
    <row r="10" spans="2:14" s="376" customFormat="1" ht="12.75" customHeight="1">
      <c r="B10" s="381" t="s">
        <v>147</v>
      </c>
      <c r="C10" s="381"/>
      <c r="D10" s="381"/>
      <c r="E10" s="382">
        <v>0.1</v>
      </c>
      <c r="F10" s="492">
        <v>2</v>
      </c>
      <c r="G10" s="492"/>
      <c r="H10" s="383" t="s">
        <v>148</v>
      </c>
      <c r="I10" s="384">
        <f>IF(F10="","",F10*E10)</f>
        <v>0.2</v>
      </c>
      <c r="J10" s="384"/>
      <c r="K10" s="385"/>
      <c r="L10" s="385"/>
      <c r="N10" s="45"/>
    </row>
    <row r="11" spans="2:14" s="376" customFormat="1" ht="12.75" customHeight="1">
      <c r="B11" s="386" t="s">
        <v>149</v>
      </c>
      <c r="C11" s="386"/>
      <c r="D11" s="386"/>
      <c r="E11" s="387">
        <v>0.1</v>
      </c>
      <c r="F11" s="492"/>
      <c r="G11" s="492"/>
      <c r="H11" s="388" t="s">
        <v>148</v>
      </c>
      <c r="I11" s="384">
        <f aca="true" t="shared" si="0" ref="I11:I16">IF(F11="","",F11*E11)</f>
      </c>
      <c r="J11" s="389"/>
      <c r="K11" s="385"/>
      <c r="L11" s="385"/>
      <c r="N11" s="45"/>
    </row>
    <row r="12" spans="2:14" s="376" customFormat="1" ht="12.75" customHeight="1">
      <c r="B12" s="386" t="s">
        <v>150</v>
      </c>
      <c r="C12" s="386"/>
      <c r="D12" s="386"/>
      <c r="E12" s="387">
        <v>0.1</v>
      </c>
      <c r="F12" s="492"/>
      <c r="G12" s="492"/>
      <c r="H12" s="388" t="s">
        <v>148</v>
      </c>
      <c r="I12" s="384">
        <f t="shared" si="0"/>
      </c>
      <c r="J12" s="389"/>
      <c r="K12" s="385"/>
      <c r="L12" s="385"/>
      <c r="N12" s="45"/>
    </row>
    <row r="13" spans="2:14" s="376" customFormat="1" ht="12.75" customHeight="1">
      <c r="B13" s="386" t="s">
        <v>151</v>
      </c>
      <c r="C13" s="386"/>
      <c r="D13" s="386"/>
      <c r="E13" s="387">
        <v>0.1</v>
      </c>
      <c r="F13" s="492"/>
      <c r="G13" s="492"/>
      <c r="H13" s="388" t="s">
        <v>148</v>
      </c>
      <c r="I13" s="384">
        <f t="shared" si="0"/>
      </c>
      <c r="J13" s="389"/>
      <c r="K13" s="385"/>
      <c r="L13" s="385"/>
      <c r="N13" s="45"/>
    </row>
    <row r="14" spans="2:14" s="376" customFormat="1" ht="12.75" customHeight="1">
      <c r="B14" s="386" t="s">
        <v>152</v>
      </c>
      <c r="C14" s="386"/>
      <c r="D14" s="386"/>
      <c r="E14" s="387">
        <v>0.1</v>
      </c>
      <c r="F14" s="492"/>
      <c r="G14" s="492"/>
      <c r="H14" s="388" t="s">
        <v>148</v>
      </c>
      <c r="I14" s="384">
        <f t="shared" si="0"/>
      </c>
      <c r="J14" s="389"/>
      <c r="K14" s="385"/>
      <c r="L14" s="385"/>
      <c r="N14" s="45"/>
    </row>
    <row r="15" spans="2:14" s="376" customFormat="1" ht="12.75" customHeight="1">
      <c r="B15" s="386" t="s">
        <v>153</v>
      </c>
      <c r="C15" s="386"/>
      <c r="D15" s="386"/>
      <c r="E15" s="387">
        <v>0.2</v>
      </c>
      <c r="F15" s="492"/>
      <c r="G15" s="492"/>
      <c r="H15" s="388" t="s">
        <v>148</v>
      </c>
      <c r="I15" s="384">
        <f t="shared" si="0"/>
      </c>
      <c r="J15" s="389"/>
      <c r="K15" s="385"/>
      <c r="L15" s="385"/>
      <c r="N15" s="45"/>
    </row>
    <row r="16" spans="2:14" s="376" customFormat="1" ht="12.75" customHeight="1">
      <c r="B16" s="386" t="s">
        <v>154</v>
      </c>
      <c r="C16" s="386"/>
      <c r="D16" s="386"/>
      <c r="E16" s="387">
        <v>0.3</v>
      </c>
      <c r="F16" s="492"/>
      <c r="G16" s="492"/>
      <c r="H16" s="388" t="s">
        <v>148</v>
      </c>
      <c r="I16" s="384">
        <f t="shared" si="0"/>
      </c>
      <c r="J16" s="389"/>
      <c r="K16" s="385"/>
      <c r="L16" s="385"/>
      <c r="N16" s="45"/>
    </row>
    <row r="17" spans="1:14" ht="3" customHeight="1">
      <c r="A17" s="41"/>
      <c r="B17" s="41"/>
      <c r="C17" s="41"/>
      <c r="D17" s="1"/>
      <c r="E17" s="1"/>
      <c r="F17" s="211"/>
      <c r="G17" s="211"/>
      <c r="H17" s="390"/>
      <c r="I17" s="211"/>
      <c r="J17" s="211"/>
      <c r="K17" s="312"/>
      <c r="L17" s="312"/>
      <c r="N17" s="391"/>
    </row>
    <row r="18" spans="2:14" s="376" customFormat="1" ht="12.75" customHeight="1">
      <c r="B18" s="376" t="s">
        <v>155</v>
      </c>
      <c r="E18" s="293"/>
      <c r="F18" s="392"/>
      <c r="G18" s="392"/>
      <c r="H18" s="393" t="s">
        <v>156</v>
      </c>
      <c r="I18" s="394">
        <f>SUM(I10:I16)</f>
        <v>0.2</v>
      </c>
      <c r="J18" s="394"/>
      <c r="K18" s="385"/>
      <c r="L18" s="385"/>
      <c r="N18" s="45"/>
    </row>
    <row r="19" spans="5:14" s="376" customFormat="1" ht="4.5" customHeight="1">
      <c r="E19" s="395"/>
      <c r="F19" s="396"/>
      <c r="G19" s="396"/>
      <c r="I19" s="397"/>
      <c r="J19" s="397"/>
      <c r="K19" s="385"/>
      <c r="L19" s="385"/>
      <c r="N19" s="45"/>
    </row>
    <row r="20" spans="1:14" s="10" customFormat="1" ht="12.75" customHeight="1">
      <c r="A20" s="370" t="s">
        <v>157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2"/>
      <c r="N20" s="373" t="s">
        <v>158</v>
      </c>
    </row>
    <row r="21" spans="1:14" s="10" customFormat="1" ht="12.75" customHeight="1">
      <c r="A21" s="376"/>
      <c r="F21" s="483" t="s">
        <v>132</v>
      </c>
      <c r="G21" s="483"/>
      <c r="H21" s="484" t="s">
        <v>133</v>
      </c>
      <c r="I21" s="484"/>
      <c r="J21" s="483" t="s">
        <v>134</v>
      </c>
      <c r="K21" s="483"/>
      <c r="L21" s="483" t="s">
        <v>135</v>
      </c>
      <c r="M21" s="483"/>
      <c r="N21" s="45"/>
    </row>
    <row r="22" spans="1:14" s="10" customFormat="1" ht="12.75" customHeight="1">
      <c r="A22" s="376"/>
      <c r="E22" s="376" t="s">
        <v>144</v>
      </c>
      <c r="F22" s="493" t="str">
        <f>IF(F$5="","nicht definiert",F$5)</f>
        <v>Schule UG</v>
      </c>
      <c r="G22" s="494"/>
      <c r="H22" s="495" t="str">
        <f>IF(H$5="","nicht definiert",H$5)</f>
        <v>Technik</v>
      </c>
      <c r="I22" s="495" t="e">
        <f>#REF!</f>
        <v>#REF!</v>
      </c>
      <c r="J22" s="496" t="str">
        <f>IF(J$5="","nicht definiert",J$5)</f>
        <v>Schule</v>
      </c>
      <c r="K22" s="494"/>
      <c r="L22" s="496" t="str">
        <f>IF(L$5="","nicht definiert",L$5)</f>
        <v>Verwaltung</v>
      </c>
      <c r="M22" s="494"/>
      <c r="N22" s="45"/>
    </row>
    <row r="23" spans="1:14" s="10" customFormat="1" ht="3" customHeight="1">
      <c r="A23" s="376"/>
      <c r="E23" s="293"/>
      <c r="F23" s="398"/>
      <c r="G23" s="398"/>
      <c r="H23" s="399"/>
      <c r="I23" s="399"/>
      <c r="J23" s="400"/>
      <c r="K23" s="398"/>
      <c r="L23" s="398"/>
      <c r="M23" s="398"/>
      <c r="N23" s="45"/>
    </row>
    <row r="24" spans="2:14" s="376" customFormat="1" ht="12.75" customHeight="1">
      <c r="B24" s="376" t="s">
        <v>159</v>
      </c>
      <c r="E24" s="382">
        <v>0.6</v>
      </c>
      <c r="F24" s="401"/>
      <c r="G24" s="402">
        <f>IF(F24="x",E24,"")</f>
      </c>
      <c r="H24" s="401"/>
      <c r="I24" s="402">
        <f>IF(H24="x",$E24,"")</f>
      </c>
      <c r="J24" s="401"/>
      <c r="K24" s="402">
        <f>IF(J24="x",$E24,"")</f>
      </c>
      <c r="L24" s="401"/>
      <c r="M24" s="402">
        <f>IF(L24="x",$E24,"")</f>
      </c>
      <c r="N24" s="45"/>
    </row>
    <row r="25" spans="2:14" s="376" customFormat="1" ht="12.75" customHeight="1">
      <c r="B25" s="376" t="s">
        <v>160</v>
      </c>
      <c r="E25" s="387">
        <v>0.8</v>
      </c>
      <c r="F25" s="401"/>
      <c r="G25" s="402">
        <f aca="true" t="shared" si="1" ref="G25:G36">IF(F25="x",E25,"")</f>
      </c>
      <c r="H25" s="401"/>
      <c r="I25" s="402">
        <f aca="true" t="shared" si="2" ref="I25:K36">IF(H25="x",$E25,"")</f>
      </c>
      <c r="J25" s="401"/>
      <c r="K25" s="402">
        <f t="shared" si="2"/>
      </c>
      <c r="L25" s="401"/>
      <c r="M25" s="402">
        <f aca="true" t="shared" si="3" ref="M25:M36">IF(L25="x",$E25,"")</f>
      </c>
      <c r="N25" s="45"/>
    </row>
    <row r="26" spans="2:14" s="376" customFormat="1" ht="12.75" customHeight="1">
      <c r="B26" s="376" t="s">
        <v>161</v>
      </c>
      <c r="E26" s="387">
        <v>1</v>
      </c>
      <c r="F26" s="401"/>
      <c r="G26" s="402">
        <f t="shared" si="1"/>
      </c>
      <c r="H26" s="401" t="s">
        <v>148</v>
      </c>
      <c r="I26" s="402">
        <f t="shared" si="2"/>
        <v>1</v>
      </c>
      <c r="J26" s="401"/>
      <c r="K26" s="402">
        <f t="shared" si="2"/>
      </c>
      <c r="L26" s="401"/>
      <c r="M26" s="402">
        <f t="shared" si="3"/>
      </c>
      <c r="N26" s="45"/>
    </row>
    <row r="27" spans="2:14" s="376" customFormat="1" ht="12.75" customHeight="1">
      <c r="B27" s="376" t="s">
        <v>162</v>
      </c>
      <c r="E27" s="387">
        <v>1</v>
      </c>
      <c r="F27" s="401"/>
      <c r="G27" s="402">
        <f t="shared" si="1"/>
      </c>
      <c r="H27" s="401"/>
      <c r="I27" s="402">
        <f t="shared" si="2"/>
      </c>
      <c r="J27" s="401"/>
      <c r="K27" s="402">
        <f t="shared" si="2"/>
      </c>
      <c r="L27" s="401" t="s">
        <v>148</v>
      </c>
      <c r="M27" s="402">
        <f t="shared" si="3"/>
        <v>1</v>
      </c>
      <c r="N27" s="45"/>
    </row>
    <row r="28" spans="2:14" s="376" customFormat="1" ht="12.75" customHeight="1">
      <c r="B28" s="376" t="s">
        <v>163</v>
      </c>
      <c r="E28" s="387">
        <v>1</v>
      </c>
      <c r="F28" s="401"/>
      <c r="G28" s="402">
        <f t="shared" si="1"/>
      </c>
      <c r="H28" s="401"/>
      <c r="I28" s="402">
        <f t="shared" si="2"/>
      </c>
      <c r="J28" s="401"/>
      <c r="K28" s="402">
        <f t="shared" si="2"/>
      </c>
      <c r="L28" s="401"/>
      <c r="M28" s="402">
        <f t="shared" si="3"/>
      </c>
      <c r="N28" s="45"/>
    </row>
    <row r="29" spans="2:14" s="376" customFormat="1" ht="12.75" customHeight="1">
      <c r="B29" s="376" t="s">
        <v>164</v>
      </c>
      <c r="E29" s="387">
        <v>1.2</v>
      </c>
      <c r="F29" s="401"/>
      <c r="G29" s="402">
        <f t="shared" si="1"/>
      </c>
      <c r="H29" s="401"/>
      <c r="I29" s="402"/>
      <c r="J29" s="401"/>
      <c r="K29" s="402">
        <f t="shared" si="2"/>
      </c>
      <c r="L29" s="401"/>
      <c r="M29" s="402">
        <f t="shared" si="3"/>
      </c>
      <c r="N29" s="45"/>
    </row>
    <row r="30" spans="2:14" s="376" customFormat="1" ht="12.75" customHeight="1">
      <c r="B30" s="376" t="s">
        <v>165</v>
      </c>
      <c r="E30" s="387">
        <v>1.4</v>
      </c>
      <c r="F30" s="401"/>
      <c r="G30" s="402">
        <f t="shared" si="1"/>
      </c>
      <c r="H30" s="401"/>
      <c r="I30" s="402">
        <f t="shared" si="2"/>
      </c>
      <c r="J30" s="401"/>
      <c r="K30" s="402">
        <f t="shared" si="2"/>
      </c>
      <c r="L30" s="401"/>
      <c r="M30" s="402">
        <f t="shared" si="3"/>
      </c>
      <c r="N30" s="45"/>
    </row>
    <row r="31" spans="2:14" s="376" customFormat="1" ht="12.75" customHeight="1">
      <c r="B31" s="376" t="s">
        <v>166</v>
      </c>
      <c r="E31" s="387">
        <v>1.5</v>
      </c>
      <c r="F31" s="401" t="s">
        <v>148</v>
      </c>
      <c r="G31" s="402">
        <f t="shared" si="1"/>
        <v>1.5</v>
      </c>
      <c r="H31" s="401"/>
      <c r="I31" s="402">
        <f t="shared" si="2"/>
      </c>
      <c r="J31" s="401" t="s">
        <v>148</v>
      </c>
      <c r="K31" s="402">
        <f t="shared" si="2"/>
        <v>1.5</v>
      </c>
      <c r="L31" s="401"/>
      <c r="M31" s="402"/>
      <c r="N31" s="45"/>
    </row>
    <row r="32" spans="2:14" s="376" customFormat="1" ht="12.75" customHeight="1">
      <c r="B32" s="376" t="s">
        <v>167</v>
      </c>
      <c r="E32" s="387">
        <v>1.6</v>
      </c>
      <c r="F32" s="401"/>
      <c r="G32" s="402">
        <f t="shared" si="1"/>
      </c>
      <c r="H32" s="401"/>
      <c r="I32" s="402">
        <f t="shared" si="2"/>
      </c>
      <c r="J32" s="401"/>
      <c r="K32" s="402">
        <f t="shared" si="2"/>
      </c>
      <c r="L32" s="401"/>
      <c r="M32" s="402">
        <f t="shared" si="3"/>
      </c>
      <c r="N32" s="45"/>
    </row>
    <row r="33" spans="2:14" s="376" customFormat="1" ht="12.75" customHeight="1">
      <c r="B33" s="376" t="s">
        <v>168</v>
      </c>
      <c r="E33" s="387">
        <v>1.8</v>
      </c>
      <c r="F33" s="401"/>
      <c r="G33" s="402">
        <f t="shared" si="1"/>
      </c>
      <c r="H33" s="401"/>
      <c r="I33" s="402">
        <f t="shared" si="2"/>
      </c>
      <c r="J33" s="401"/>
      <c r="K33" s="402">
        <f t="shared" si="2"/>
      </c>
      <c r="L33" s="401"/>
      <c r="M33" s="402">
        <f t="shared" si="3"/>
      </c>
      <c r="N33" s="45"/>
    </row>
    <row r="34" spans="2:14" s="376" customFormat="1" ht="12.75" customHeight="1">
      <c r="B34" s="376" t="s">
        <v>169</v>
      </c>
      <c r="E34" s="387">
        <v>2</v>
      </c>
      <c r="F34" s="401"/>
      <c r="G34" s="402">
        <f t="shared" si="1"/>
      </c>
      <c r="H34" s="401"/>
      <c r="I34" s="402">
        <f t="shared" si="2"/>
      </c>
      <c r="J34" s="401"/>
      <c r="K34" s="402">
        <f t="shared" si="2"/>
      </c>
      <c r="L34" s="401"/>
      <c r="M34" s="402">
        <f t="shared" si="3"/>
      </c>
      <c r="N34" s="45"/>
    </row>
    <row r="35" spans="2:14" s="376" customFormat="1" ht="12.75" customHeight="1">
      <c r="B35" s="376" t="s">
        <v>170</v>
      </c>
      <c r="E35" s="387">
        <v>2.5</v>
      </c>
      <c r="F35" s="401"/>
      <c r="G35" s="402">
        <f t="shared" si="1"/>
      </c>
      <c r="H35" s="401"/>
      <c r="I35" s="402">
        <f t="shared" si="2"/>
      </c>
      <c r="J35" s="401"/>
      <c r="K35" s="402">
        <f t="shared" si="2"/>
      </c>
      <c r="L35" s="401"/>
      <c r="M35" s="402">
        <f t="shared" si="3"/>
      </c>
      <c r="N35" s="45"/>
    </row>
    <row r="36" spans="2:14" ht="12.75" customHeight="1">
      <c r="B36" s="41" t="s">
        <v>171</v>
      </c>
      <c r="C36" s="1"/>
      <c r="D36" s="213"/>
      <c r="E36" s="387">
        <v>3</v>
      </c>
      <c r="F36" s="401"/>
      <c r="G36" s="402">
        <f t="shared" si="1"/>
      </c>
      <c r="H36" s="401"/>
      <c r="I36" s="402">
        <f t="shared" si="2"/>
      </c>
      <c r="J36" s="401"/>
      <c r="K36" s="402">
        <f t="shared" si="2"/>
      </c>
      <c r="L36" s="401"/>
      <c r="M36" s="402">
        <f t="shared" si="3"/>
      </c>
      <c r="N36" s="403"/>
    </row>
    <row r="37" spans="1:14" ht="1.5" customHeight="1">
      <c r="A37" s="41"/>
      <c r="B37" s="41"/>
      <c r="C37" s="41"/>
      <c r="D37" s="1"/>
      <c r="E37" s="1"/>
      <c r="F37" s="211"/>
      <c r="G37" s="211"/>
      <c r="H37" s="208"/>
      <c r="I37" s="211"/>
      <c r="J37" s="211"/>
      <c r="K37" s="312"/>
      <c r="L37" s="312"/>
      <c r="N37" s="391"/>
    </row>
    <row r="38" spans="2:14" s="376" customFormat="1" ht="12.75" customHeight="1">
      <c r="B38" s="376" t="s">
        <v>172</v>
      </c>
      <c r="E38" s="293"/>
      <c r="F38" s="392" t="s">
        <v>173</v>
      </c>
      <c r="G38" s="404">
        <f>SUM(G24:G37)</f>
        <v>1.5</v>
      </c>
      <c r="H38" s="392" t="s">
        <v>174</v>
      </c>
      <c r="I38" s="404">
        <f>SUM(I24:I37)</f>
        <v>1</v>
      </c>
      <c r="J38" s="392" t="s">
        <v>175</v>
      </c>
      <c r="K38" s="404">
        <f>SUM(K24:K37)</f>
        <v>1.5</v>
      </c>
      <c r="L38" s="392" t="s">
        <v>176</v>
      </c>
      <c r="M38" s="404">
        <f>SUM(M24:M37)</f>
        <v>1</v>
      </c>
      <c r="N38" s="45"/>
    </row>
    <row r="39" spans="2:14" ht="4.5" customHeight="1">
      <c r="B39" s="41"/>
      <c r="C39" s="1"/>
      <c r="D39" s="213"/>
      <c r="E39" s="405"/>
      <c r="F39" s="379"/>
      <c r="G39" s="379"/>
      <c r="H39" s="380"/>
      <c r="I39" s="380"/>
      <c r="J39" s="380"/>
      <c r="K39" s="379"/>
      <c r="L39" s="379"/>
      <c r="M39" s="379"/>
      <c r="N39" s="403"/>
    </row>
    <row r="40" spans="1:14" s="10" customFormat="1" ht="12.75" customHeight="1">
      <c r="A40" s="370" t="s">
        <v>177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3" t="s">
        <v>158</v>
      </c>
    </row>
    <row r="41" spans="1:14" s="10" customFormat="1" ht="12.75" customHeight="1">
      <c r="A41" s="376"/>
      <c r="F41" s="483" t="s">
        <v>132</v>
      </c>
      <c r="G41" s="483"/>
      <c r="H41" s="484" t="s">
        <v>133</v>
      </c>
      <c r="I41" s="484"/>
      <c r="J41" s="483" t="s">
        <v>134</v>
      </c>
      <c r="K41" s="483"/>
      <c r="L41" s="483" t="s">
        <v>135</v>
      </c>
      <c r="M41" s="483"/>
      <c r="N41" s="45"/>
    </row>
    <row r="42" spans="1:14" s="10" customFormat="1" ht="12.75" customHeight="1">
      <c r="A42" s="376"/>
      <c r="E42" s="406" t="s">
        <v>144</v>
      </c>
      <c r="F42" s="493" t="str">
        <f>IF(F$5="","nicht definiert",F$5)</f>
        <v>Schule UG</v>
      </c>
      <c r="G42" s="494"/>
      <c r="H42" s="495" t="str">
        <f>IF(H$5="","nicht definiert",H$5)</f>
        <v>Technik</v>
      </c>
      <c r="I42" s="495" t="e">
        <f>#REF!</f>
        <v>#REF!</v>
      </c>
      <c r="J42" s="496" t="str">
        <f>IF(J$5="","nicht definiert",J$5)</f>
        <v>Schule</v>
      </c>
      <c r="K42" s="494"/>
      <c r="L42" s="496" t="str">
        <f>IF(L$5="","nicht definiert",L$5)</f>
        <v>Verwaltung</v>
      </c>
      <c r="M42" s="494"/>
      <c r="N42" s="45"/>
    </row>
    <row r="43" spans="1:14" s="10" customFormat="1" ht="3" customHeight="1">
      <c r="A43" s="376"/>
      <c r="E43" s="293"/>
      <c r="F43" s="398"/>
      <c r="G43" s="398"/>
      <c r="H43" s="399"/>
      <c r="I43" s="399"/>
      <c r="J43" s="400"/>
      <c r="K43" s="398"/>
      <c r="L43" s="398"/>
      <c r="M43" s="398"/>
      <c r="N43" s="45"/>
    </row>
    <row r="44" spans="2:14" s="376" customFormat="1" ht="12.75" customHeight="1">
      <c r="B44" s="381" t="s">
        <v>178</v>
      </c>
      <c r="C44" s="381"/>
      <c r="D44" s="381"/>
      <c r="E44" s="382">
        <v>0.5</v>
      </c>
      <c r="F44" s="401"/>
      <c r="G44" s="402">
        <f aca="true" t="shared" si="4" ref="G44:G51">IF(F44="x",E44,"")</f>
      </c>
      <c r="H44" s="401"/>
      <c r="I44" s="402">
        <f aca="true" t="shared" si="5" ref="I44:I51">IF(H44="x",$E44,"")</f>
      </c>
      <c r="J44" s="401"/>
      <c r="K44" s="402">
        <f aca="true" t="shared" si="6" ref="K44:K51">IF(J44="x",$E44,"")</f>
      </c>
      <c r="L44" s="401"/>
      <c r="M44" s="402">
        <f aca="true" t="shared" si="7" ref="M44:M51">IF(L44="x",$E44,"")</f>
      </c>
      <c r="N44" s="45"/>
    </row>
    <row r="45" spans="2:14" s="376" customFormat="1" ht="12.75" customHeight="1">
      <c r="B45" s="381" t="s">
        <v>179</v>
      </c>
      <c r="C45" s="381"/>
      <c r="D45" s="381"/>
      <c r="E45" s="382">
        <v>0.1</v>
      </c>
      <c r="F45" s="401" t="s">
        <v>148</v>
      </c>
      <c r="G45" s="402">
        <f t="shared" si="4"/>
        <v>0.1</v>
      </c>
      <c r="H45" s="401" t="s">
        <v>148</v>
      </c>
      <c r="I45" s="402">
        <f t="shared" si="5"/>
        <v>0.1</v>
      </c>
      <c r="J45" s="401"/>
      <c r="K45" s="402">
        <f t="shared" si="6"/>
      </c>
      <c r="L45" s="401"/>
      <c r="M45" s="402">
        <f t="shared" si="7"/>
      </c>
      <c r="N45" s="45"/>
    </row>
    <row r="46" spans="2:14" s="376" customFormat="1" ht="12.75" customHeight="1">
      <c r="B46" s="386" t="s">
        <v>180</v>
      </c>
      <c r="C46" s="386"/>
      <c r="D46" s="386"/>
      <c r="E46" s="387">
        <v>0.2</v>
      </c>
      <c r="F46" s="401" t="s">
        <v>148</v>
      </c>
      <c r="G46" s="402">
        <f t="shared" si="4"/>
        <v>0.2</v>
      </c>
      <c r="H46" s="401" t="s">
        <v>148</v>
      </c>
      <c r="I46" s="402">
        <f t="shared" si="5"/>
        <v>0.2</v>
      </c>
      <c r="J46" s="401" t="s">
        <v>148</v>
      </c>
      <c r="K46" s="402">
        <f t="shared" si="6"/>
        <v>0.2</v>
      </c>
      <c r="L46" s="401"/>
      <c r="M46" s="402">
        <f t="shared" si="7"/>
      </c>
      <c r="N46" s="45"/>
    </row>
    <row r="47" spans="2:14" s="376" customFormat="1" ht="12.75" customHeight="1">
      <c r="B47" s="386" t="s">
        <v>181</v>
      </c>
      <c r="C47" s="386"/>
      <c r="D47" s="386"/>
      <c r="E47" s="387">
        <v>0.2</v>
      </c>
      <c r="F47" s="401"/>
      <c r="G47" s="402">
        <f t="shared" si="4"/>
      </c>
      <c r="H47" s="401"/>
      <c r="I47" s="402">
        <f t="shared" si="5"/>
      </c>
      <c r="J47" s="401" t="s">
        <v>148</v>
      </c>
      <c r="K47" s="402">
        <f t="shared" si="6"/>
        <v>0.2</v>
      </c>
      <c r="L47" s="401" t="s">
        <v>148</v>
      </c>
      <c r="M47" s="402">
        <f t="shared" si="7"/>
        <v>0.2</v>
      </c>
      <c r="N47" s="45"/>
    </row>
    <row r="48" spans="2:14" s="376" customFormat="1" ht="12.75" customHeight="1">
      <c r="B48" s="386" t="s">
        <v>182</v>
      </c>
      <c r="C48" s="386"/>
      <c r="D48" s="386"/>
      <c r="E48" s="387">
        <v>0.2</v>
      </c>
      <c r="F48" s="401"/>
      <c r="G48" s="402">
        <f t="shared" si="4"/>
      </c>
      <c r="H48" s="401"/>
      <c r="I48" s="402">
        <f t="shared" si="5"/>
      </c>
      <c r="J48" s="401"/>
      <c r="K48" s="402">
        <f t="shared" si="6"/>
      </c>
      <c r="L48" s="401"/>
      <c r="M48" s="402">
        <f t="shared" si="7"/>
      </c>
      <c r="N48" s="45"/>
    </row>
    <row r="49" spans="2:14" s="376" customFormat="1" ht="12.75" customHeight="1">
      <c r="B49" s="386" t="s">
        <v>183</v>
      </c>
      <c r="C49" s="386"/>
      <c r="D49" s="386"/>
      <c r="E49" s="387">
        <v>0.2</v>
      </c>
      <c r="F49" s="401"/>
      <c r="G49" s="402">
        <f t="shared" si="4"/>
      </c>
      <c r="H49" s="401"/>
      <c r="I49" s="402">
        <f t="shared" si="5"/>
      </c>
      <c r="J49" s="401"/>
      <c r="K49" s="402">
        <f t="shared" si="6"/>
      </c>
      <c r="L49" s="401"/>
      <c r="M49" s="402">
        <f t="shared" si="7"/>
      </c>
      <c r="N49" s="45"/>
    </row>
    <row r="50" spans="2:14" s="376" customFormat="1" ht="12.75" customHeight="1">
      <c r="B50" s="386" t="s">
        <v>184</v>
      </c>
      <c r="C50" s="386"/>
      <c r="D50" s="386"/>
      <c r="E50" s="387">
        <v>0.2</v>
      </c>
      <c r="F50" s="401"/>
      <c r="G50" s="402">
        <f t="shared" si="4"/>
      </c>
      <c r="H50" s="401"/>
      <c r="I50" s="402">
        <f t="shared" si="5"/>
      </c>
      <c r="J50" s="401"/>
      <c r="K50" s="402">
        <f t="shared" si="6"/>
      </c>
      <c r="L50" s="401"/>
      <c r="M50" s="402">
        <f t="shared" si="7"/>
      </c>
      <c r="N50" s="45"/>
    </row>
    <row r="51" spans="2:14" s="376" customFormat="1" ht="12.75" customHeight="1">
      <c r="B51" s="386" t="s">
        <v>185</v>
      </c>
      <c r="C51" s="386"/>
      <c r="D51" s="386"/>
      <c r="E51" s="387">
        <v>0.3</v>
      </c>
      <c r="F51" s="401"/>
      <c r="G51" s="402">
        <f t="shared" si="4"/>
      </c>
      <c r="H51" s="401"/>
      <c r="I51" s="402">
        <f t="shared" si="5"/>
      </c>
      <c r="J51" s="401"/>
      <c r="K51" s="402">
        <f t="shared" si="6"/>
      </c>
      <c r="L51" s="401"/>
      <c r="M51" s="402">
        <f t="shared" si="7"/>
      </c>
      <c r="N51" s="45"/>
    </row>
    <row r="52" spans="1:14" ht="3" customHeight="1">
      <c r="A52" s="41"/>
      <c r="B52" s="41"/>
      <c r="C52" s="41"/>
      <c r="D52" s="1"/>
      <c r="E52" s="1"/>
      <c r="F52" s="211"/>
      <c r="G52" s="211"/>
      <c r="H52" s="208"/>
      <c r="I52" s="211"/>
      <c r="J52" s="211"/>
      <c r="K52" s="312"/>
      <c r="L52" s="312"/>
      <c r="N52" s="391"/>
    </row>
    <row r="53" spans="2:14" s="376" customFormat="1" ht="12.75" customHeight="1">
      <c r="B53" s="376" t="s">
        <v>186</v>
      </c>
      <c r="E53" s="293"/>
      <c r="F53" s="45" t="s">
        <v>187</v>
      </c>
      <c r="G53" s="404">
        <f>SUM(G44:G52)</f>
        <v>0.3</v>
      </c>
      <c r="H53" s="45" t="s">
        <v>188</v>
      </c>
      <c r="I53" s="404">
        <f>SUM(I44:I52)</f>
        <v>0.3</v>
      </c>
      <c r="J53" s="45" t="s">
        <v>189</v>
      </c>
      <c r="K53" s="404">
        <f>SUM(K44:K52)</f>
        <v>0.4</v>
      </c>
      <c r="L53" s="45" t="s">
        <v>190</v>
      </c>
      <c r="M53" s="404">
        <f>SUM(M44:M52)</f>
        <v>0.2</v>
      </c>
      <c r="N53" s="45"/>
    </row>
    <row r="54" spans="5:14" s="376" customFormat="1" ht="4.5" customHeight="1">
      <c r="E54" s="395"/>
      <c r="F54" s="396"/>
      <c r="G54" s="396"/>
      <c r="I54" s="397"/>
      <c r="J54" s="397"/>
      <c r="K54" s="385"/>
      <c r="L54" s="385"/>
      <c r="N54" s="45"/>
    </row>
    <row r="55" spans="1:14" ht="12.75" customHeight="1">
      <c r="A55" s="407" t="s">
        <v>191</v>
      </c>
      <c r="B55" s="407"/>
      <c r="C55" s="408"/>
      <c r="D55" s="408"/>
      <c r="E55" s="408"/>
      <c r="F55" s="408"/>
      <c r="G55" s="408"/>
      <c r="H55" s="409"/>
      <c r="I55" s="408"/>
      <c r="J55" s="408"/>
      <c r="K55" s="410"/>
      <c r="L55" s="410"/>
      <c r="M55" s="411"/>
      <c r="N55" s="412"/>
    </row>
    <row r="56" spans="1:14" ht="3" customHeight="1">
      <c r="A56" s="215"/>
      <c r="B56" s="215"/>
      <c r="C56" s="215"/>
      <c r="D56" s="215"/>
      <c r="F56" s="7"/>
      <c r="G56" s="7"/>
      <c r="K56" s="1"/>
      <c r="L56" s="1"/>
      <c r="N56" s="412"/>
    </row>
    <row r="57" spans="1:14" ht="14.25" customHeight="1">
      <c r="A57" s="216" t="s">
        <v>192</v>
      </c>
      <c r="B57" s="216"/>
      <c r="C57" s="1"/>
      <c r="F57" s="413" t="s">
        <v>193</v>
      </c>
      <c r="G57" s="414">
        <f>(1+$I$18)*(1+G53)</f>
        <v>1.56</v>
      </c>
      <c r="H57" s="413" t="s">
        <v>194</v>
      </c>
      <c r="I57" s="414">
        <f>(1+$I$18)*(1+I53)</f>
        <v>1.56</v>
      </c>
      <c r="J57" s="413" t="s">
        <v>195</v>
      </c>
      <c r="K57" s="414">
        <f>(1+$I$18)*(1+K53)</f>
        <v>1.68</v>
      </c>
      <c r="L57" s="413" t="s">
        <v>196</v>
      </c>
      <c r="M57" s="414">
        <f>(1+$I$18)*(1+M53)</f>
        <v>1.44</v>
      </c>
      <c r="N57" s="412"/>
    </row>
    <row r="58" spans="1:14" ht="3" customHeight="1">
      <c r="A58" s="41"/>
      <c r="B58" s="41"/>
      <c r="C58" s="41"/>
      <c r="D58" s="1"/>
      <c r="E58" s="1"/>
      <c r="F58" s="211"/>
      <c r="G58" s="211"/>
      <c r="H58" s="208"/>
      <c r="I58" s="211"/>
      <c r="J58" s="211"/>
      <c r="K58" s="312"/>
      <c r="L58" s="312"/>
      <c r="N58" s="391"/>
    </row>
    <row r="59" spans="1:14" ht="15.75" customHeight="1">
      <c r="A59" s="497" t="s">
        <v>197</v>
      </c>
      <c r="B59" s="497"/>
      <c r="C59" s="497"/>
      <c r="D59" s="497"/>
      <c r="E59" s="497"/>
      <c r="F59" s="413" t="s">
        <v>198</v>
      </c>
      <c r="G59" s="415">
        <f>F6*G38*G57</f>
        <v>2106</v>
      </c>
      <c r="H59" s="413" t="s">
        <v>199</v>
      </c>
      <c r="I59" s="415">
        <f>H6*I38*I57</f>
        <v>1248</v>
      </c>
      <c r="J59" s="413" t="s">
        <v>200</v>
      </c>
      <c r="K59" s="415">
        <f>J6*K38*K57</f>
        <v>15624</v>
      </c>
      <c r="L59" s="413" t="s">
        <v>201</v>
      </c>
      <c r="M59" s="415">
        <f>L6*M38*M57</f>
        <v>576</v>
      </c>
      <c r="N59" s="412"/>
    </row>
    <row r="60" spans="1:14" ht="3" customHeight="1">
      <c r="A60" s="41"/>
      <c r="B60" s="41"/>
      <c r="C60" s="41"/>
      <c r="D60" s="1"/>
      <c r="E60" s="1"/>
      <c r="F60" s="211"/>
      <c r="G60" s="211"/>
      <c r="H60" s="416"/>
      <c r="I60" s="211"/>
      <c r="J60" s="211"/>
      <c r="K60" s="312"/>
      <c r="L60" s="312"/>
      <c r="M60" s="59"/>
      <c r="N60" s="391"/>
    </row>
    <row r="61" spans="1:14" ht="15.75" customHeight="1">
      <c r="A61" s="497" t="s">
        <v>202</v>
      </c>
      <c r="B61" s="497"/>
      <c r="C61" s="497"/>
      <c r="D61" s="497"/>
      <c r="E61" s="497"/>
      <c r="F61" s="498">
        <f>G59+I59+K59+M59</f>
        <v>19554</v>
      </c>
      <c r="G61" s="498"/>
      <c r="H61" s="498"/>
      <c r="I61" s="498"/>
      <c r="J61" s="498"/>
      <c r="K61" s="498"/>
      <c r="L61" s="498"/>
      <c r="M61" s="498"/>
      <c r="N61" s="412"/>
    </row>
    <row r="62" spans="1:14" ht="3" customHeight="1">
      <c r="A62" s="41"/>
      <c r="B62" s="41"/>
      <c r="C62" s="41"/>
      <c r="D62" s="1"/>
      <c r="E62" s="1"/>
      <c r="F62" s="211"/>
      <c r="G62" s="211"/>
      <c r="H62" s="416"/>
      <c r="I62" s="211"/>
      <c r="J62" s="211"/>
      <c r="K62" s="312"/>
      <c r="L62" s="312"/>
      <c r="M62" s="59"/>
      <c r="N62" s="391"/>
    </row>
    <row r="63" spans="1:14" ht="15.75" customHeight="1">
      <c r="A63" s="497" t="s">
        <v>203</v>
      </c>
      <c r="B63" s="497"/>
      <c r="C63" s="497"/>
      <c r="D63" s="497"/>
      <c r="E63" s="497"/>
      <c r="F63" s="499">
        <f>2300+130*F61^0.61</f>
        <v>56201</v>
      </c>
      <c r="G63" s="499"/>
      <c r="H63" s="499"/>
      <c r="I63" s="499"/>
      <c r="J63" s="499"/>
      <c r="K63" s="499"/>
      <c r="L63" s="499"/>
      <c r="M63" s="499"/>
      <c r="N63" s="412"/>
    </row>
    <row r="64" spans="1:14" ht="3" customHeight="1">
      <c r="A64" s="40"/>
      <c r="B64" s="41"/>
      <c r="C64" s="41"/>
      <c r="D64" s="221"/>
      <c r="E64" s="221"/>
      <c r="F64" s="221"/>
      <c r="G64" s="221"/>
      <c r="H64" s="222"/>
      <c r="I64" s="222"/>
      <c r="J64" s="222"/>
      <c r="K64" s="57"/>
      <c r="L64" s="57"/>
      <c r="M64" s="42"/>
      <c r="N64" s="412"/>
    </row>
    <row r="65" spans="1:14" ht="12.75" customHeight="1">
      <c r="A65" s="417" t="s">
        <v>204</v>
      </c>
      <c r="B65" s="418"/>
      <c r="C65" s="418"/>
      <c r="D65" s="419"/>
      <c r="E65" s="419"/>
      <c r="F65" s="419"/>
      <c r="G65" s="419"/>
      <c r="H65" s="420"/>
      <c r="I65" s="420"/>
      <c r="J65" s="420"/>
      <c r="K65" s="421"/>
      <c r="L65" s="421"/>
      <c r="M65" s="422"/>
      <c r="N65" s="412"/>
    </row>
    <row r="66" spans="1:14" ht="3" customHeight="1">
      <c r="A66" s="423"/>
      <c r="B66" s="41"/>
      <c r="C66" s="41"/>
      <c r="D66" s="221"/>
      <c r="E66" s="221"/>
      <c r="F66" s="221"/>
      <c r="G66" s="221"/>
      <c r="H66" s="222"/>
      <c r="I66" s="222"/>
      <c r="J66" s="222"/>
      <c r="K66" s="57"/>
      <c r="L66" s="57"/>
      <c r="M66" s="42"/>
      <c r="N66" s="412"/>
    </row>
    <row r="67" spans="1:14" ht="12.75" customHeight="1">
      <c r="A67" s="223" t="s">
        <v>205</v>
      </c>
      <c r="B67" s="223"/>
      <c r="C67" s="224"/>
      <c r="D67" s="1"/>
      <c r="F67" s="424"/>
      <c r="G67" s="424">
        <v>0.01</v>
      </c>
      <c r="H67" s="500">
        <v>0.01</v>
      </c>
      <c r="I67" s="500"/>
      <c r="J67" s="1"/>
      <c r="K67" s="225">
        <v>1</v>
      </c>
      <c r="L67" s="501">
        <f aca="true" t="shared" si="8" ref="L67:L79">IF($F$63=0,"-",$F$63*H67)</f>
        <v>562</v>
      </c>
      <c r="M67" s="501"/>
      <c r="N67" s="403"/>
    </row>
    <row r="68" spans="1:14" ht="12.75" customHeight="1">
      <c r="A68" s="223" t="s">
        <v>206</v>
      </c>
      <c r="B68" s="223"/>
      <c r="C68" s="224"/>
      <c r="D68" s="1"/>
      <c r="F68" s="424"/>
      <c r="G68" s="424">
        <v>0.15</v>
      </c>
      <c r="H68" s="500">
        <v>0.15</v>
      </c>
      <c r="I68" s="500"/>
      <c r="J68" s="1"/>
      <c r="K68" s="225">
        <v>2</v>
      </c>
      <c r="L68" s="501">
        <f t="shared" si="8"/>
        <v>8430</v>
      </c>
      <c r="M68" s="501"/>
      <c r="N68" s="403"/>
    </row>
    <row r="69" spans="1:14" ht="12.75" customHeight="1">
      <c r="A69" s="223" t="s">
        <v>35</v>
      </c>
      <c r="B69" s="223"/>
      <c r="C69" s="224"/>
      <c r="D69" s="1"/>
      <c r="F69" s="424"/>
      <c r="G69" s="424">
        <v>0.19</v>
      </c>
      <c r="H69" s="500">
        <v>0.19</v>
      </c>
      <c r="I69" s="500"/>
      <c r="J69" s="1"/>
      <c r="K69" s="225">
        <v>3</v>
      </c>
      <c r="L69" s="501">
        <f t="shared" si="8"/>
        <v>10678</v>
      </c>
      <c r="M69" s="501"/>
      <c r="N69" s="403"/>
    </row>
    <row r="70" spans="1:14" ht="12.75" customHeight="1">
      <c r="A70" s="223" t="s">
        <v>207</v>
      </c>
      <c r="B70" s="223"/>
      <c r="C70" s="224"/>
      <c r="D70" s="1"/>
      <c r="F70" s="424"/>
      <c r="G70" s="424">
        <v>0.15</v>
      </c>
      <c r="H70" s="500">
        <v>0.15</v>
      </c>
      <c r="I70" s="500"/>
      <c r="J70" s="1"/>
      <c r="K70" s="225">
        <v>4</v>
      </c>
      <c r="L70" s="501">
        <f t="shared" si="8"/>
        <v>8430</v>
      </c>
      <c r="M70" s="501"/>
      <c r="N70" s="403"/>
    </row>
    <row r="71" spans="1:14" ht="12.75" customHeight="1">
      <c r="A71" s="223" t="s">
        <v>208</v>
      </c>
      <c r="B71" s="223"/>
      <c r="C71" s="224"/>
      <c r="D71" s="1"/>
      <c r="F71" s="424"/>
      <c r="G71" s="424">
        <v>0.18</v>
      </c>
      <c r="H71" s="500">
        <v>0.18</v>
      </c>
      <c r="I71" s="500"/>
      <c r="J71" s="1"/>
      <c r="K71" s="225">
        <v>5</v>
      </c>
      <c r="L71" s="501">
        <f t="shared" si="8"/>
        <v>10116</v>
      </c>
      <c r="M71" s="501"/>
      <c r="N71" s="403"/>
    </row>
    <row r="72" spans="1:14" ht="12.75" customHeight="1">
      <c r="A72" s="223" t="s">
        <v>209</v>
      </c>
      <c r="B72" s="223"/>
      <c r="C72" s="224"/>
      <c r="D72" s="1"/>
      <c r="F72" s="424"/>
      <c r="G72" s="424">
        <v>0</v>
      </c>
      <c r="H72" s="500">
        <v>0</v>
      </c>
      <c r="I72" s="500"/>
      <c r="J72" s="1"/>
      <c r="K72" s="225">
        <v>6</v>
      </c>
      <c r="L72" s="501">
        <f t="shared" si="8"/>
        <v>0</v>
      </c>
      <c r="M72" s="501"/>
      <c r="N72" s="403"/>
    </row>
    <row r="73" spans="1:14" ht="12.75" customHeight="1">
      <c r="A73" s="223" t="s">
        <v>210</v>
      </c>
      <c r="B73" s="223"/>
      <c r="C73" s="224"/>
      <c r="D73" s="1"/>
      <c r="F73" s="424"/>
      <c r="G73" s="424">
        <v>0</v>
      </c>
      <c r="H73" s="500">
        <v>0</v>
      </c>
      <c r="I73" s="500"/>
      <c r="J73" s="1"/>
      <c r="K73" s="225"/>
      <c r="L73" s="501">
        <f t="shared" si="8"/>
        <v>0</v>
      </c>
      <c r="M73" s="501"/>
      <c r="N73" s="403"/>
    </row>
    <row r="74" spans="1:14" ht="12.75" customHeight="1">
      <c r="A74" s="223" t="s">
        <v>211</v>
      </c>
      <c r="B74" s="223"/>
      <c r="C74" s="224"/>
      <c r="D74" s="1"/>
      <c r="F74" s="424"/>
      <c r="G74" s="424">
        <v>0</v>
      </c>
      <c r="H74" s="500">
        <v>0</v>
      </c>
      <c r="I74" s="500"/>
      <c r="J74" s="1"/>
      <c r="K74" s="225">
        <v>7</v>
      </c>
      <c r="L74" s="501">
        <f t="shared" si="8"/>
        <v>0</v>
      </c>
      <c r="M74" s="501"/>
      <c r="N74" s="403"/>
    </row>
    <row r="75" spans="1:14" ht="12.75" customHeight="1">
      <c r="A75" s="203" t="s">
        <v>212</v>
      </c>
      <c r="B75" s="203"/>
      <c r="C75" s="224"/>
      <c r="D75" s="1"/>
      <c r="F75" s="424"/>
      <c r="G75" s="424">
        <v>0.32</v>
      </c>
      <c r="H75" s="500">
        <v>0.32</v>
      </c>
      <c r="I75" s="500"/>
      <c r="J75" s="1"/>
      <c r="K75" s="225">
        <v>8</v>
      </c>
      <c r="L75" s="501">
        <f t="shared" si="8"/>
        <v>17984</v>
      </c>
      <c r="M75" s="501"/>
      <c r="N75" s="403"/>
    </row>
    <row r="76" spans="1:14" ht="12.75" customHeight="1">
      <c r="A76" s="425" t="s">
        <v>48</v>
      </c>
      <c r="B76" s="425"/>
      <c r="C76" s="426"/>
      <c r="D76" s="1"/>
      <c r="F76" s="424"/>
      <c r="G76" s="424">
        <v>0</v>
      </c>
      <c r="H76" s="500">
        <v>0</v>
      </c>
      <c r="I76" s="500"/>
      <c r="J76" s="1"/>
      <c r="K76" s="427">
        <v>9</v>
      </c>
      <c r="L76" s="501">
        <f t="shared" si="8"/>
        <v>0</v>
      </c>
      <c r="M76" s="501"/>
      <c r="N76" s="403"/>
    </row>
    <row r="77" spans="1:16" s="430" customFormat="1" ht="12.75" customHeight="1">
      <c r="A77" s="428" t="s">
        <v>213</v>
      </c>
      <c r="B77" s="428"/>
      <c r="C77" s="429"/>
      <c r="F77" s="424"/>
      <c r="G77" s="424"/>
      <c r="H77" s="500">
        <v>0</v>
      </c>
      <c r="I77" s="500"/>
      <c r="J77" s="431"/>
      <c r="L77" s="501">
        <f t="shared" si="8"/>
        <v>0</v>
      </c>
      <c r="M77" s="501"/>
      <c r="N77" s="432"/>
      <c r="O77" s="433"/>
      <c r="P77" s="433"/>
    </row>
    <row r="78" spans="1:16" s="430" customFormat="1" ht="12.75" customHeight="1">
      <c r="A78" s="428" t="s">
        <v>213</v>
      </c>
      <c r="B78" s="428"/>
      <c r="C78" s="429"/>
      <c r="F78" s="424"/>
      <c r="G78" s="424"/>
      <c r="H78" s="500">
        <v>0</v>
      </c>
      <c r="I78" s="500"/>
      <c r="J78" s="431"/>
      <c r="L78" s="501">
        <f t="shared" si="8"/>
        <v>0</v>
      </c>
      <c r="M78" s="501"/>
      <c r="N78" s="432"/>
      <c r="O78" s="433"/>
      <c r="P78" s="433"/>
    </row>
    <row r="79" spans="1:16" s="430" customFormat="1" ht="12.75" customHeight="1">
      <c r="A79" s="434" t="s">
        <v>213</v>
      </c>
      <c r="B79" s="434"/>
      <c r="C79" s="435"/>
      <c r="D79" s="436"/>
      <c r="E79" s="436"/>
      <c r="F79" s="437"/>
      <c r="G79" s="437"/>
      <c r="H79" s="502">
        <v>0</v>
      </c>
      <c r="I79" s="502"/>
      <c r="J79" s="438"/>
      <c r="K79" s="439"/>
      <c r="L79" s="503">
        <f t="shared" si="8"/>
        <v>0</v>
      </c>
      <c r="M79" s="503"/>
      <c r="N79" s="432"/>
      <c r="O79" s="433"/>
      <c r="P79" s="433"/>
    </row>
    <row r="80" spans="1:14" ht="15" customHeight="1">
      <c r="A80" s="319" t="s">
        <v>214</v>
      </c>
      <c r="B80" s="203"/>
      <c r="C80" s="28"/>
      <c r="D80" s="1"/>
      <c r="F80" s="504">
        <f>SUM(G67:G76)</f>
        <v>1</v>
      </c>
      <c r="G80" s="504"/>
      <c r="H80" s="505">
        <f>SUM(H67:H79)</f>
        <v>1</v>
      </c>
      <c r="I80" s="505"/>
      <c r="K80" s="1"/>
      <c r="L80" s="501">
        <f>SUM(L67:L79)</f>
        <v>56200</v>
      </c>
      <c r="M80" s="501"/>
      <c r="N80" s="403"/>
    </row>
    <row r="81" spans="8:14" ht="4.5" customHeight="1">
      <c r="H81" s="245"/>
      <c r="K81" s="1"/>
      <c r="L81" s="1"/>
      <c r="M81" s="191"/>
      <c r="N81" s="440"/>
    </row>
    <row r="82" spans="1:14" ht="12.75" customHeight="1">
      <c r="A82" s="441" t="s">
        <v>111</v>
      </c>
      <c r="B82" s="442"/>
      <c r="C82" s="442"/>
      <c r="D82" s="409"/>
      <c r="E82" s="409"/>
      <c r="F82" s="409"/>
      <c r="G82" s="409"/>
      <c r="H82" s="443"/>
      <c r="I82" s="409"/>
      <c r="J82" s="409"/>
      <c r="K82" s="410"/>
      <c r="L82" s="409"/>
      <c r="M82" s="444"/>
      <c r="N82" s="403"/>
    </row>
    <row r="83" spans="1:16" ht="3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"/>
      <c r="L83" s="2"/>
      <c r="M83" s="2"/>
      <c r="N83" s="403"/>
      <c r="O83" s="10"/>
      <c r="P83" s="10"/>
    </row>
    <row r="84" spans="1:14" ht="12.75" customHeight="1">
      <c r="A84" s="497" t="s">
        <v>215</v>
      </c>
      <c r="B84" s="497"/>
      <c r="C84" s="497"/>
      <c r="D84" s="497"/>
      <c r="E84" s="497"/>
      <c r="H84" s="245"/>
      <c r="K84" s="1"/>
      <c r="L84" s="506">
        <f>L80</f>
        <v>56200</v>
      </c>
      <c r="M84" s="506"/>
      <c r="N84" s="403"/>
    </row>
    <row r="85" spans="1:17" ht="12.75" customHeight="1">
      <c r="A85" s="48" t="s">
        <v>88</v>
      </c>
      <c r="F85" s="507">
        <v>0</v>
      </c>
      <c r="G85" s="507"/>
      <c r="H85" s="445"/>
      <c r="I85" s="508">
        <v>0</v>
      </c>
      <c r="J85" s="508"/>
      <c r="K85" s="1"/>
      <c r="L85" s="506">
        <f>F85*I85</f>
        <v>0</v>
      </c>
      <c r="M85" s="506"/>
      <c r="N85" s="403"/>
      <c r="O85" s="44"/>
      <c r="P85" s="44"/>
      <c r="Q85" s="44"/>
    </row>
    <row r="86" spans="1:16" ht="3" customHeight="1">
      <c r="A86" s="10"/>
      <c r="B86" s="10"/>
      <c r="C86" s="10"/>
      <c r="D86" s="10"/>
      <c r="E86" s="10"/>
      <c r="F86" s="446"/>
      <c r="G86" s="446"/>
      <c r="H86" s="10"/>
      <c r="I86" s="10"/>
      <c r="J86" s="10"/>
      <c r="K86" s="1"/>
      <c r="L86" s="506"/>
      <c r="M86" s="506"/>
      <c r="N86" s="403"/>
      <c r="O86" s="10"/>
      <c r="P86" s="10"/>
    </row>
    <row r="87" spans="1:14" s="32" customFormat="1" ht="12.75">
      <c r="A87" s="130" t="s">
        <v>126</v>
      </c>
      <c r="B87" s="131"/>
      <c r="C87" s="132"/>
      <c r="D87" s="132"/>
      <c r="E87" s="133"/>
      <c r="F87" s="447"/>
      <c r="G87" s="447"/>
      <c r="H87" s="246"/>
      <c r="I87" s="133"/>
      <c r="J87" s="133"/>
      <c r="K87" s="133"/>
      <c r="L87" s="509">
        <f>L84+L85</f>
        <v>56200</v>
      </c>
      <c r="M87" s="509"/>
      <c r="N87" s="448"/>
    </row>
    <row r="88" spans="2:14" s="32" customFormat="1" ht="3" customHeight="1">
      <c r="B88" s="33"/>
      <c r="C88" s="34"/>
      <c r="D88" s="34"/>
      <c r="E88" s="66"/>
      <c r="F88" s="449"/>
      <c r="G88" s="449"/>
      <c r="H88" s="247"/>
      <c r="I88" s="92"/>
      <c r="J88" s="92"/>
      <c r="L88" s="506"/>
      <c r="M88" s="506"/>
      <c r="N88" s="448"/>
    </row>
    <row r="89" spans="1:14" s="32" customFormat="1" ht="12.75">
      <c r="A89" s="69" t="s">
        <v>13</v>
      </c>
      <c r="B89" s="33"/>
      <c r="C89" s="34"/>
      <c r="D89" s="34"/>
      <c r="E89" s="77"/>
      <c r="F89" s="510">
        <v>0.04</v>
      </c>
      <c r="G89" s="510"/>
      <c r="I89" s="93"/>
      <c r="J89" s="93"/>
      <c r="L89" s="506">
        <f>ROUND(L87*F89,2)</f>
        <v>2248</v>
      </c>
      <c r="M89" s="506"/>
      <c r="N89" s="448"/>
    </row>
    <row r="90" spans="1:14" s="32" customFormat="1" ht="3" customHeight="1">
      <c r="A90" s="70"/>
      <c r="B90" s="71"/>
      <c r="C90" s="72"/>
      <c r="D90" s="72"/>
      <c r="E90" s="79"/>
      <c r="F90" s="450"/>
      <c r="G90" s="450"/>
      <c r="H90" s="70"/>
      <c r="I90" s="94"/>
      <c r="J90" s="94"/>
      <c r="K90" s="94"/>
      <c r="L90" s="94"/>
      <c r="M90" s="94"/>
      <c r="N90" s="448"/>
    </row>
    <row r="91" spans="2:14" s="32" customFormat="1" ht="3" customHeight="1">
      <c r="B91" s="33"/>
      <c r="C91" s="34"/>
      <c r="D91" s="34"/>
      <c r="E91" s="73"/>
      <c r="F91" s="451"/>
      <c r="G91" s="451"/>
      <c r="I91" s="92"/>
      <c r="J91" s="92"/>
      <c r="L91" s="506"/>
      <c r="M91" s="506"/>
      <c r="N91" s="448"/>
    </row>
    <row r="92" spans="1:14" s="32" customFormat="1" ht="12.75">
      <c r="A92" s="130" t="s">
        <v>216</v>
      </c>
      <c r="B92" s="131"/>
      <c r="C92" s="132"/>
      <c r="D92" s="132"/>
      <c r="E92" s="452"/>
      <c r="F92" s="453"/>
      <c r="G92" s="453"/>
      <c r="H92" s="133"/>
      <c r="I92" s="454"/>
      <c r="J92" s="454"/>
      <c r="K92" s="133"/>
      <c r="L92" s="509">
        <f>L87+L89</f>
        <v>58448</v>
      </c>
      <c r="M92" s="509"/>
      <c r="N92" s="448"/>
    </row>
    <row r="93" spans="1:14" s="299" customFormat="1" ht="3" customHeight="1">
      <c r="A93" s="74"/>
      <c r="B93" s="75"/>
      <c r="C93" s="76"/>
      <c r="D93" s="76"/>
      <c r="E93" s="35"/>
      <c r="F93" s="89"/>
      <c r="G93" s="89"/>
      <c r="I93" s="93"/>
      <c r="J93" s="93"/>
      <c r="L93" s="506"/>
      <c r="M93" s="506"/>
      <c r="N93" s="455"/>
    </row>
    <row r="94" spans="1:14" s="32" customFormat="1" ht="12.75">
      <c r="A94" s="32" t="s">
        <v>217</v>
      </c>
      <c r="B94" s="33"/>
      <c r="D94" s="34"/>
      <c r="E94" s="73"/>
      <c r="F94" s="510">
        <v>0</v>
      </c>
      <c r="G94" s="510"/>
      <c r="I94" s="38"/>
      <c r="J94" s="38"/>
      <c r="L94" s="506">
        <f>ROUND(L92*F94,2)</f>
        <v>0</v>
      </c>
      <c r="M94" s="506"/>
      <c r="N94" s="448"/>
    </row>
    <row r="95" spans="1:14" s="32" customFormat="1" ht="3" customHeight="1">
      <c r="A95" s="37"/>
      <c r="B95" s="252"/>
      <c r="C95" s="80"/>
      <c r="D95" s="80"/>
      <c r="E95" s="73"/>
      <c r="F95" s="456"/>
      <c r="G95" s="456"/>
      <c r="I95" s="92"/>
      <c r="J95" s="92"/>
      <c r="L95" s="506"/>
      <c r="M95" s="506"/>
      <c r="N95" s="448"/>
    </row>
    <row r="96" spans="1:14" s="32" customFormat="1" ht="3" customHeight="1">
      <c r="A96" s="70"/>
      <c r="B96" s="71"/>
      <c r="C96" s="72"/>
      <c r="D96" s="72"/>
      <c r="E96" s="79"/>
      <c r="F96" s="450"/>
      <c r="G96" s="450"/>
      <c r="H96" s="70"/>
      <c r="I96" s="94"/>
      <c r="J96" s="94"/>
      <c r="K96" s="94"/>
      <c r="L96" s="94"/>
      <c r="M96" s="94"/>
      <c r="N96" s="448"/>
    </row>
    <row r="97" spans="2:14" s="32" customFormat="1" ht="3" customHeight="1">
      <c r="B97" s="33"/>
      <c r="C97" s="34"/>
      <c r="D97" s="34"/>
      <c r="E97" s="73"/>
      <c r="F97" s="451"/>
      <c r="G97" s="451"/>
      <c r="I97" s="92"/>
      <c r="J97" s="92"/>
      <c r="L97" s="506"/>
      <c r="M97" s="506"/>
      <c r="N97" s="448"/>
    </row>
    <row r="98" spans="1:14" s="32" customFormat="1" ht="12.75">
      <c r="A98" s="130" t="s">
        <v>218</v>
      </c>
      <c r="B98" s="131"/>
      <c r="C98" s="132"/>
      <c r="D98" s="132"/>
      <c r="E98" s="452"/>
      <c r="F98" s="453"/>
      <c r="G98" s="453"/>
      <c r="H98" s="133"/>
      <c r="I98" s="454"/>
      <c r="J98" s="454"/>
      <c r="K98" s="133"/>
      <c r="L98" s="509">
        <f>L87+L89</f>
        <v>58448</v>
      </c>
      <c r="M98" s="509"/>
      <c r="N98" s="448"/>
    </row>
    <row r="99" spans="1:16" s="299" customFormat="1" ht="3" customHeight="1">
      <c r="A99" s="74"/>
      <c r="B99" s="75"/>
      <c r="C99" s="76"/>
      <c r="D99" s="76"/>
      <c r="E99" s="363"/>
      <c r="F99" s="457"/>
      <c r="G99" s="457"/>
      <c r="L99" s="506"/>
      <c r="M99" s="506"/>
      <c r="N99" s="455"/>
      <c r="O99" s="358"/>
      <c r="P99" s="84"/>
    </row>
    <row r="100" spans="1:14" s="32" customFormat="1" ht="12.75">
      <c r="A100" s="32" t="s">
        <v>14</v>
      </c>
      <c r="B100" s="33"/>
      <c r="D100" s="34"/>
      <c r="E100" s="73"/>
      <c r="F100" s="511">
        <v>0.2</v>
      </c>
      <c r="G100" s="511"/>
      <c r="I100" s="38"/>
      <c r="J100" s="38"/>
      <c r="L100" s="506">
        <f>ROUND(L98*F100,2)</f>
        <v>11690</v>
      </c>
      <c r="M100" s="506"/>
      <c r="N100" s="448"/>
    </row>
    <row r="101" spans="1:14" s="32" customFormat="1" ht="3" customHeight="1">
      <c r="A101" s="37"/>
      <c r="B101" s="252"/>
      <c r="C101" s="80"/>
      <c r="D101" s="80"/>
      <c r="E101" s="73"/>
      <c r="F101" s="68"/>
      <c r="G101" s="68"/>
      <c r="I101" s="92"/>
      <c r="J101" s="92"/>
      <c r="L101" s="506"/>
      <c r="M101" s="506"/>
      <c r="N101" s="448"/>
    </row>
    <row r="102" spans="1:14" s="37" customFormat="1" ht="12.75">
      <c r="A102" s="253" t="s">
        <v>128</v>
      </c>
      <c r="B102" s="254"/>
      <c r="C102" s="255"/>
      <c r="D102" s="255"/>
      <c r="E102" s="256"/>
      <c r="F102" s="258"/>
      <c r="G102" s="258"/>
      <c r="H102" s="258"/>
      <c r="I102" s="258"/>
      <c r="J102" s="258"/>
      <c r="K102" s="458"/>
      <c r="L102" s="512">
        <f>SUM(L98:L100)</f>
        <v>70138</v>
      </c>
      <c r="M102" s="512"/>
      <c r="N102" s="459"/>
    </row>
    <row r="103" spans="6:7" ht="4.5" customHeight="1">
      <c r="F103" s="7"/>
      <c r="G103" s="7"/>
    </row>
    <row r="104" spans="1:14" ht="12.75">
      <c r="A104" s="460"/>
      <c r="B104" s="460"/>
      <c r="C104" s="460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1"/>
    </row>
    <row r="105" spans="1:14" ht="12.75">
      <c r="A105" s="460"/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1"/>
    </row>
    <row r="106" spans="1:14" ht="12.75">
      <c r="A106" s="460"/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1"/>
    </row>
    <row r="107" spans="1:14" ht="12.75">
      <c r="A107" s="460"/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1"/>
    </row>
    <row r="108" spans="1:14" ht="12.75">
      <c r="A108" s="460"/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1"/>
    </row>
    <row r="109" spans="1:14" ht="12.75">
      <c r="A109" s="460"/>
      <c r="B109" s="460"/>
      <c r="C109" s="460"/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  <c r="N109" s="461"/>
    </row>
    <row r="110" spans="1:14" ht="12.75">
      <c r="A110" s="460"/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1"/>
    </row>
    <row r="111" spans="1:14" ht="12.75">
      <c r="A111" s="460"/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1"/>
    </row>
    <row r="112" spans="1:14" ht="12.75">
      <c r="A112" s="460"/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1"/>
    </row>
  </sheetData>
  <sheetProtection password="D2DC" sheet="1"/>
  <mergeCells count="97">
    <mergeCell ref="L98:M98"/>
    <mergeCell ref="L99:M99"/>
    <mergeCell ref="F100:G100"/>
    <mergeCell ref="L100:M100"/>
    <mergeCell ref="L101:M101"/>
    <mergeCell ref="L102:M102"/>
    <mergeCell ref="L92:M92"/>
    <mergeCell ref="L93:M93"/>
    <mergeCell ref="F94:G94"/>
    <mergeCell ref="L94:M94"/>
    <mergeCell ref="L95:M95"/>
    <mergeCell ref="L97:M97"/>
    <mergeCell ref="L86:M86"/>
    <mergeCell ref="L87:M87"/>
    <mergeCell ref="L88:M88"/>
    <mergeCell ref="F89:G89"/>
    <mergeCell ref="L89:M89"/>
    <mergeCell ref="L91:M91"/>
    <mergeCell ref="F80:G80"/>
    <mergeCell ref="H80:I80"/>
    <mergeCell ref="L80:M80"/>
    <mergeCell ref="A84:E84"/>
    <mergeCell ref="L84:M84"/>
    <mergeCell ref="F85:G85"/>
    <mergeCell ref="I85:J85"/>
    <mergeCell ref="L85:M85"/>
    <mergeCell ref="H77:I77"/>
    <mergeCell ref="L77:M77"/>
    <mergeCell ref="H78:I78"/>
    <mergeCell ref="L78:M78"/>
    <mergeCell ref="H79:I79"/>
    <mergeCell ref="L79:M79"/>
    <mergeCell ref="H74:I74"/>
    <mergeCell ref="L74:M74"/>
    <mergeCell ref="H75:I75"/>
    <mergeCell ref="L75:M75"/>
    <mergeCell ref="H76:I76"/>
    <mergeCell ref="L76:M76"/>
    <mergeCell ref="H71:I71"/>
    <mergeCell ref="L71:M71"/>
    <mergeCell ref="H72:I72"/>
    <mergeCell ref="L72:M72"/>
    <mergeCell ref="H73:I73"/>
    <mergeCell ref="L73:M73"/>
    <mergeCell ref="H68:I68"/>
    <mergeCell ref="L68:M68"/>
    <mergeCell ref="H69:I69"/>
    <mergeCell ref="L69:M69"/>
    <mergeCell ref="H70:I70"/>
    <mergeCell ref="L70:M70"/>
    <mergeCell ref="A59:E59"/>
    <mergeCell ref="A61:E61"/>
    <mergeCell ref="F61:M61"/>
    <mergeCell ref="A63:E63"/>
    <mergeCell ref="F63:M63"/>
    <mergeCell ref="H67:I67"/>
    <mergeCell ref="L67:M67"/>
    <mergeCell ref="F41:G41"/>
    <mergeCell ref="H41:I41"/>
    <mergeCell ref="J41:K41"/>
    <mergeCell ref="L41:M41"/>
    <mergeCell ref="F42:G42"/>
    <mergeCell ref="H42:I42"/>
    <mergeCell ref="J42:K42"/>
    <mergeCell ref="L42:M42"/>
    <mergeCell ref="F16:G16"/>
    <mergeCell ref="F21:G21"/>
    <mergeCell ref="H21:I21"/>
    <mergeCell ref="J21:K21"/>
    <mergeCell ref="L21:M21"/>
    <mergeCell ref="F22:G22"/>
    <mergeCell ref="H22:I22"/>
    <mergeCell ref="J22:K22"/>
    <mergeCell ref="L22:M22"/>
    <mergeCell ref="F10:G10"/>
    <mergeCell ref="F11:G11"/>
    <mergeCell ref="F12:G12"/>
    <mergeCell ref="F13:G13"/>
    <mergeCell ref="F14:G14"/>
    <mergeCell ref="F15:G15"/>
    <mergeCell ref="F6:G6"/>
    <mergeCell ref="H6:I6"/>
    <mergeCell ref="J6:K6"/>
    <mergeCell ref="L6:M6"/>
    <mergeCell ref="F9:G9"/>
    <mergeCell ref="H9:I9"/>
    <mergeCell ref="J9:K9"/>
    <mergeCell ref="L9:M9"/>
    <mergeCell ref="I2:M2"/>
    <mergeCell ref="F4:G4"/>
    <mergeCell ref="H4:I4"/>
    <mergeCell ref="J4:K4"/>
    <mergeCell ref="L4:M4"/>
    <mergeCell ref="F5:G5"/>
    <mergeCell ref="H5:I5"/>
    <mergeCell ref="J5:K5"/>
    <mergeCell ref="L5:M5"/>
  </mergeCells>
  <printOptions horizontalCentered="1"/>
  <pageMargins left="0.984251968503937" right="0.984251968503937" top="0.7480314960629921" bottom="0.5511811023622047" header="0.31496062992125984" footer="0.31496062992125984"/>
  <pageSetup fitToHeight="0" fitToWidth="0" horizontalDpi="600" verticalDpi="600" orientation="portrait" pageOrder="overThenDown" paperSize="9" scale="65" r:id="rId1"/>
  <headerFooter>
    <oddHeader>&amp;L&amp;"Arial,Fett"&amp;K01+034Angebot Bauphysik + Brandschutz &amp;A
&amp;"Arial,Standard"nach VM.BP.2014&amp;R&amp;"Arial,Standard"&amp;K01+035Version 5
Stand: 07.01.2020</oddHeader>
    <oddFooter>&amp;L&amp;"Arial,Fett"&amp;K01+040LM.VM.2014 &amp;"Arial,Standard" |  Bauphysik &amp;A  |  Angebotsformular&amp;R&amp;"Arial,Standard"&amp;K01+040&amp;P/&amp;N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edv</cp:lastModifiedBy>
  <cp:lastPrinted>2020-01-30T14:07:26Z</cp:lastPrinted>
  <dcterms:created xsi:type="dcterms:W3CDTF">2009-05-04T08:45:42Z</dcterms:created>
  <dcterms:modified xsi:type="dcterms:W3CDTF">2020-03-25T15:18:18Z</dcterms:modified>
  <cp:category/>
  <cp:version/>
  <cp:contentType/>
  <cp:contentStatus/>
</cp:coreProperties>
</file>