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\Desktop\"/>
    </mc:Choice>
  </mc:AlternateContent>
  <xr:revisionPtr revIDLastSave="0" documentId="8_{D753F6FC-2FAE-42CB-B17E-7989A4B3D3CB}" xr6:coauthVersionLast="44" xr6:coauthVersionMax="44" xr10:uidLastSave="{00000000-0000-0000-0000-000000000000}"/>
  <bookViews>
    <workbookView xWindow="6000" yWindow="3450" windowWidth="17865" windowHeight="9945" tabRatio="734" xr2:uid="{00000000-000D-0000-FFFF-FFFF00000000}"/>
  </bookViews>
  <sheets>
    <sheet name="KAT A1" sheetId="12" r:id="rId1"/>
    <sheet name="KAT A2" sheetId="13" r:id="rId2"/>
    <sheet name="KAT B+B1" sheetId="15" r:id="rId3"/>
    <sheet name="KAT_B2" sheetId="14" r:id="rId4"/>
    <sheet name="KAT C" sheetId="16" r:id="rId5"/>
  </sheets>
  <definedNames>
    <definedName name="_xlnm.Print_Area" localSheetId="0">'KAT A1'!$A$1:$K$89</definedName>
    <definedName name="_xlnm.Print_Area" localSheetId="1">'KAT A2'!$A$1:$K$89</definedName>
    <definedName name="_xlnm.Print_Area" localSheetId="2">'KAT B+B1'!$A$1:$K$89</definedName>
    <definedName name="_xlnm.Print_Area" localSheetId="4">'KAT C'!$A$1:$K$89</definedName>
    <definedName name="_xlnm.Print_Area" localSheetId="3">KAT_B2!$A$1:$K$89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0" i="16" l="1"/>
  <c r="I30" i="16"/>
  <c r="K30" i="14"/>
  <c r="I30" i="14"/>
  <c r="K30" i="15"/>
  <c r="I30" i="15"/>
  <c r="K30" i="13"/>
  <c r="I30" i="13"/>
  <c r="K30" i="12"/>
  <c r="I30" i="12"/>
  <c r="K8" i="12" l="1"/>
  <c r="F76" i="16" l="1"/>
  <c r="E76" i="16"/>
  <c r="F69" i="16"/>
  <c r="E69" i="16"/>
  <c r="K33" i="16"/>
  <c r="K43" i="16" s="1"/>
  <c r="I33" i="16"/>
  <c r="I43" i="16" s="1"/>
  <c r="K29" i="16"/>
  <c r="I29" i="16"/>
  <c r="K28" i="16"/>
  <c r="I28" i="16"/>
  <c r="K26" i="16"/>
  <c r="I26" i="16"/>
  <c r="K25" i="16"/>
  <c r="I25" i="16"/>
  <c r="F16" i="16"/>
  <c r="F18" i="16" s="1"/>
  <c r="K8" i="16"/>
  <c r="I8" i="16"/>
  <c r="I27" i="16" l="1"/>
  <c r="E78" i="16"/>
  <c r="I16" i="16"/>
  <c r="K27" i="16"/>
  <c r="F78" i="16"/>
  <c r="I9" i="16"/>
  <c r="I10" i="16" s="1"/>
  <c r="I12" i="16"/>
  <c r="I13" i="16"/>
  <c r="I14" i="16"/>
  <c r="I15" i="16"/>
  <c r="K16" i="16"/>
  <c r="I18" i="16"/>
  <c r="I20" i="16" s="1"/>
  <c r="I37" i="16"/>
  <c r="I38" i="16"/>
  <c r="I39" i="16"/>
  <c r="I40" i="16"/>
  <c r="I41" i="16"/>
  <c r="I42" i="16"/>
  <c r="K9" i="16"/>
  <c r="K10" i="16" s="1"/>
  <c r="K12" i="16"/>
  <c r="K13" i="16"/>
  <c r="K14" i="16"/>
  <c r="K15" i="16"/>
  <c r="K18" i="16"/>
  <c r="K20" i="16" s="1"/>
  <c r="K37" i="16"/>
  <c r="K38" i="16"/>
  <c r="K39" i="16"/>
  <c r="K40" i="16"/>
  <c r="K41" i="16"/>
  <c r="K42" i="16"/>
  <c r="I22" i="16" l="1"/>
  <c r="K31" i="16"/>
  <c r="K34" i="16" s="1"/>
  <c r="I31" i="16"/>
  <c r="I34" i="16" s="1"/>
  <c r="I35" i="16" s="1"/>
  <c r="K22" i="16"/>
  <c r="I44" i="16"/>
  <c r="K44" i="16"/>
  <c r="K47" i="16" s="1"/>
  <c r="K35" i="16" l="1"/>
  <c r="F44" i="16"/>
  <c r="F45" i="16" s="1"/>
  <c r="I47" i="16"/>
  <c r="K45" i="16" l="1"/>
  <c r="K48" i="16" s="1"/>
  <c r="K49" i="16" s="1"/>
  <c r="I45" i="16"/>
  <c r="I48" i="16" s="1"/>
  <c r="I49" i="16" s="1"/>
  <c r="I69" i="16" s="1"/>
  <c r="F76" i="15"/>
  <c r="E76" i="15"/>
  <c r="F69" i="15"/>
  <c r="E69" i="15"/>
  <c r="K33" i="15"/>
  <c r="K43" i="15" s="1"/>
  <c r="I33" i="15"/>
  <c r="K29" i="15"/>
  <c r="I29" i="15"/>
  <c r="K28" i="15"/>
  <c r="I28" i="15"/>
  <c r="K26" i="15"/>
  <c r="I26" i="15"/>
  <c r="K25" i="15"/>
  <c r="K27" i="15" s="1"/>
  <c r="K31" i="15" s="1"/>
  <c r="I25" i="15"/>
  <c r="I27" i="15" s="1"/>
  <c r="I31" i="15" s="1"/>
  <c r="F16" i="15"/>
  <c r="F18" i="15" s="1"/>
  <c r="K8" i="15"/>
  <c r="I8" i="15"/>
  <c r="I16" i="15" s="1"/>
  <c r="I43" i="15" l="1"/>
  <c r="I40" i="15"/>
  <c r="E78" i="15"/>
  <c r="F78" i="15"/>
  <c r="I34" i="15"/>
  <c r="I35" i="15" s="1"/>
  <c r="I76" i="16"/>
  <c r="I78" i="16"/>
  <c r="I80" i="16" s="1"/>
  <c r="K78" i="16"/>
  <c r="K80" i="16" s="1"/>
  <c r="K76" i="16"/>
  <c r="K69" i="16"/>
  <c r="K35" i="15"/>
  <c r="K34" i="15"/>
  <c r="I9" i="15"/>
  <c r="I10" i="15" s="1"/>
  <c r="I12" i="15"/>
  <c r="I13" i="15"/>
  <c r="I14" i="15"/>
  <c r="I15" i="15"/>
  <c r="K16" i="15"/>
  <c r="I18" i="15"/>
  <c r="I20" i="15" s="1"/>
  <c r="I22" i="15" s="1"/>
  <c r="I37" i="15"/>
  <c r="I38" i="15"/>
  <c r="I39" i="15"/>
  <c r="I41" i="15"/>
  <c r="I42" i="15"/>
  <c r="K9" i="15"/>
  <c r="K10" i="15" s="1"/>
  <c r="K12" i="15"/>
  <c r="K13" i="15"/>
  <c r="K14" i="15"/>
  <c r="K15" i="15"/>
  <c r="K18" i="15"/>
  <c r="K20" i="15" s="1"/>
  <c r="K37" i="15"/>
  <c r="K38" i="15"/>
  <c r="K39" i="15"/>
  <c r="K40" i="15"/>
  <c r="K41" i="15"/>
  <c r="K42" i="15"/>
  <c r="I84" i="16" l="1"/>
  <c r="I82" i="16"/>
  <c r="K84" i="16"/>
  <c r="K82" i="16"/>
  <c r="K22" i="15"/>
  <c r="I44" i="15"/>
  <c r="K44" i="15"/>
  <c r="K47" i="15" s="1"/>
  <c r="F44" i="15" l="1"/>
  <c r="F45" i="15" s="1"/>
  <c r="I47" i="15"/>
  <c r="K45" i="15" l="1"/>
  <c r="K48" i="15" s="1"/>
  <c r="K49" i="15" s="1"/>
  <c r="I45" i="15"/>
  <c r="I48" i="15" s="1"/>
  <c r="I49" i="15" s="1"/>
  <c r="F76" i="14"/>
  <c r="E76" i="14"/>
  <c r="F69" i="14"/>
  <c r="E69" i="14"/>
  <c r="K33" i="14"/>
  <c r="K43" i="14" s="1"/>
  <c r="I33" i="14"/>
  <c r="I43" i="14" s="1"/>
  <c r="K29" i="14"/>
  <c r="I29" i="14"/>
  <c r="K28" i="14"/>
  <c r="I28" i="14"/>
  <c r="K26" i="14"/>
  <c r="I26" i="14"/>
  <c r="K25" i="14"/>
  <c r="I25" i="14"/>
  <c r="F16" i="14"/>
  <c r="F18" i="14" s="1"/>
  <c r="K8" i="14"/>
  <c r="I8" i="14"/>
  <c r="K27" i="14" l="1"/>
  <c r="K31" i="14" s="1"/>
  <c r="I16" i="14"/>
  <c r="I27" i="14"/>
  <c r="I31" i="14" s="1"/>
  <c r="I34" i="14" s="1"/>
  <c r="I35" i="14" s="1"/>
  <c r="E78" i="14"/>
  <c r="F78" i="14"/>
  <c r="I76" i="15"/>
  <c r="I78" i="15"/>
  <c r="I80" i="15" s="1"/>
  <c r="I69" i="15"/>
  <c r="K78" i="15"/>
  <c r="K80" i="15" s="1"/>
  <c r="K69" i="15"/>
  <c r="K76" i="15"/>
  <c r="K35" i="14"/>
  <c r="K34" i="14"/>
  <c r="I9" i="14"/>
  <c r="I10" i="14" s="1"/>
  <c r="I12" i="14"/>
  <c r="I13" i="14"/>
  <c r="I14" i="14"/>
  <c r="I15" i="14"/>
  <c r="K16" i="14"/>
  <c r="I18" i="14"/>
  <c r="I20" i="14" s="1"/>
  <c r="I22" i="14" s="1"/>
  <c r="I37" i="14"/>
  <c r="I38" i="14"/>
  <c r="I39" i="14"/>
  <c r="I40" i="14"/>
  <c r="I41" i="14"/>
  <c r="I42" i="14"/>
  <c r="K9" i="14"/>
  <c r="K10" i="14" s="1"/>
  <c r="K12" i="14"/>
  <c r="K13" i="14"/>
  <c r="K14" i="14"/>
  <c r="K15" i="14"/>
  <c r="K18" i="14"/>
  <c r="K20" i="14" s="1"/>
  <c r="K37" i="14"/>
  <c r="K38" i="14"/>
  <c r="K39" i="14"/>
  <c r="K40" i="14"/>
  <c r="K41" i="14"/>
  <c r="K42" i="14"/>
  <c r="K22" i="14" l="1"/>
  <c r="I84" i="15"/>
  <c r="I82" i="15"/>
  <c r="K84" i="15"/>
  <c r="K82" i="15"/>
  <c r="I44" i="14"/>
  <c r="K44" i="14"/>
  <c r="K47" i="14" s="1"/>
  <c r="F44" i="14" l="1"/>
  <c r="F45" i="14" s="1"/>
  <c r="I47" i="14"/>
  <c r="K45" i="14" l="1"/>
  <c r="K48" i="14" s="1"/>
  <c r="K49" i="14" s="1"/>
  <c r="I45" i="14"/>
  <c r="I48" i="14" s="1"/>
  <c r="I49" i="14" s="1"/>
  <c r="I76" i="14" l="1"/>
  <c r="I78" i="14"/>
  <c r="I80" i="14" s="1"/>
  <c r="I69" i="14"/>
  <c r="K78" i="14"/>
  <c r="K80" i="14" s="1"/>
  <c r="K76" i="14"/>
  <c r="K69" i="14"/>
  <c r="F76" i="13"/>
  <c r="F78" i="13" s="1"/>
  <c r="E76" i="13"/>
  <c r="E78" i="13" s="1"/>
  <c r="F69" i="13"/>
  <c r="E69" i="13"/>
  <c r="K33" i="13"/>
  <c r="K43" i="13" s="1"/>
  <c r="I33" i="13"/>
  <c r="I43" i="13" s="1"/>
  <c r="K29" i="13"/>
  <c r="I29" i="13"/>
  <c r="K28" i="13"/>
  <c r="I28" i="13"/>
  <c r="K26" i="13"/>
  <c r="I26" i="13"/>
  <c r="K25" i="13"/>
  <c r="K27" i="13" s="1"/>
  <c r="I25" i="13"/>
  <c r="I27" i="13" s="1"/>
  <c r="F16" i="13"/>
  <c r="F18" i="13" s="1"/>
  <c r="K8" i="13"/>
  <c r="I8" i="13"/>
  <c r="I16" i="13" s="1"/>
  <c r="I31" i="13" l="1"/>
  <c r="K31" i="13"/>
  <c r="K34" i="13" s="1"/>
  <c r="I34" i="13"/>
  <c r="I35" i="13" s="1"/>
  <c r="I84" i="14"/>
  <c r="I82" i="14"/>
  <c r="K84" i="14"/>
  <c r="K82" i="14"/>
  <c r="K35" i="13"/>
  <c r="I9" i="13"/>
  <c r="I10" i="13" s="1"/>
  <c r="I12" i="13"/>
  <c r="I13" i="13"/>
  <c r="I14" i="13"/>
  <c r="I15" i="13"/>
  <c r="K16" i="13"/>
  <c r="I18" i="13"/>
  <c r="I20" i="13" s="1"/>
  <c r="I22" i="13" s="1"/>
  <c r="I37" i="13"/>
  <c r="I38" i="13"/>
  <c r="I39" i="13"/>
  <c r="I40" i="13"/>
  <c r="I41" i="13"/>
  <c r="I42" i="13"/>
  <c r="K9" i="13"/>
  <c r="K10" i="13" s="1"/>
  <c r="K12" i="13"/>
  <c r="K13" i="13"/>
  <c r="K14" i="13"/>
  <c r="K15" i="13"/>
  <c r="K18" i="13"/>
  <c r="K20" i="13" s="1"/>
  <c r="K37" i="13"/>
  <c r="K38" i="13"/>
  <c r="K39" i="13"/>
  <c r="K40" i="13"/>
  <c r="K41" i="13"/>
  <c r="K42" i="13"/>
  <c r="K22" i="13" l="1"/>
  <c r="I44" i="13"/>
  <c r="K44" i="13"/>
  <c r="K47" i="13" s="1"/>
  <c r="F44" i="13" l="1"/>
  <c r="F45" i="13" s="1"/>
  <c r="I47" i="13"/>
  <c r="K45" i="13" l="1"/>
  <c r="K48" i="13" s="1"/>
  <c r="K49" i="13" s="1"/>
  <c r="I45" i="13"/>
  <c r="I48" i="13" s="1"/>
  <c r="I49" i="13" s="1"/>
  <c r="I76" i="13" l="1"/>
  <c r="I78" i="13"/>
  <c r="I80" i="13" s="1"/>
  <c r="I69" i="13"/>
  <c r="K78" i="13"/>
  <c r="K80" i="13" s="1"/>
  <c r="K76" i="13"/>
  <c r="K69" i="13"/>
  <c r="K84" i="13" l="1"/>
  <c r="K82" i="13"/>
  <c r="I84" i="13"/>
  <c r="I82" i="13"/>
  <c r="I26" i="12" l="1"/>
  <c r="I25" i="12"/>
  <c r="I27" i="12" s="1"/>
  <c r="I8" i="12"/>
  <c r="K25" i="12" l="1"/>
  <c r="K15" i="12"/>
  <c r="K14" i="12"/>
  <c r="K13" i="12"/>
  <c r="K12" i="12"/>
  <c r="K9" i="12"/>
  <c r="K10" i="12" s="1"/>
  <c r="I33" i="12"/>
  <c r="I37" i="12" s="1"/>
  <c r="I15" i="12"/>
  <c r="I14" i="12"/>
  <c r="I13" i="12"/>
  <c r="I12" i="12"/>
  <c r="I9" i="12"/>
  <c r="I10" i="12" s="1"/>
  <c r="I43" i="12" l="1"/>
  <c r="I38" i="12"/>
  <c r="I39" i="12"/>
  <c r="I40" i="12"/>
  <c r="I42" i="12"/>
  <c r="I41" i="12"/>
  <c r="F76" i="12"/>
  <c r="E76" i="12"/>
  <c r="F69" i="12"/>
  <c r="E69" i="12"/>
  <c r="K33" i="12"/>
  <c r="K29" i="12"/>
  <c r="I29" i="12"/>
  <c r="K28" i="12"/>
  <c r="I28" i="12"/>
  <c r="K26" i="12"/>
  <c r="K27" i="12" s="1"/>
  <c r="K31" i="12" s="1"/>
  <c r="F16" i="12"/>
  <c r="F18" i="12" s="1"/>
  <c r="E78" i="12" l="1"/>
  <c r="I31" i="12"/>
  <c r="I44" i="12"/>
  <c r="K35" i="12"/>
  <c r="F78" i="12"/>
  <c r="I18" i="12"/>
  <c r="I20" i="12" s="1"/>
  <c r="K18" i="12"/>
  <c r="K20" i="12" s="1"/>
  <c r="I34" i="12"/>
  <c r="F44" i="12" s="1"/>
  <c r="F45" i="12" s="1"/>
  <c r="K42" i="12"/>
  <c r="K38" i="12"/>
  <c r="K40" i="12"/>
  <c r="K43" i="12"/>
  <c r="K39" i="12"/>
  <c r="K41" i="12"/>
  <c r="K37" i="12"/>
  <c r="K16" i="12"/>
  <c r="I16" i="12"/>
  <c r="K22" i="12" l="1"/>
  <c r="K34" i="12"/>
  <c r="I47" i="12"/>
  <c r="I35" i="12"/>
  <c r="I22" i="12"/>
  <c r="K44" i="12"/>
  <c r="K45" i="12"/>
  <c r="K48" i="12" s="1"/>
  <c r="K49" i="12" l="1"/>
  <c r="K76" i="12" s="1"/>
  <c r="K47" i="12"/>
  <c r="I45" i="12"/>
  <c r="I48" i="12" s="1"/>
  <c r="I49" i="12" s="1"/>
  <c r="K78" i="12"/>
  <c r="K69" i="12"/>
  <c r="I76" i="12" l="1"/>
  <c r="I69" i="12"/>
  <c r="I78" i="12"/>
  <c r="I80" i="12" s="1"/>
  <c r="K80" i="12"/>
  <c r="I84" i="12" l="1"/>
  <c r="I82" i="12"/>
  <c r="K84" i="12"/>
  <c r="K8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2016 lt. Statistik Austria - Durchschnitt pro Erwerbstätigen entfallende Tage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2016 lt. Statistik Austria - Durchschnitt pro Erwerbstätigen entfallende Tage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2016 lt. Statistik Austria - Durchschnitt pro Erwerbstätigen entfallende Tage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Lang:
</t>
        </r>
        <r>
          <rPr>
            <sz val="8"/>
            <color indexed="81"/>
            <rFont val="Tahoma"/>
            <family val="2"/>
          </rPr>
          <t>Werte 2016 lt. Statistik Austria - Durchschnitt pro Erwerbstätigen entfallende Tage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Lang:
</t>
        </r>
        <r>
          <rPr>
            <sz val="8"/>
            <color indexed="81"/>
            <rFont val="Tahoma"/>
            <family val="2"/>
          </rPr>
          <t>Werte 2016 lt. Statistik Austria - Durchschnitt pro Erwerbstätigen entfallende Tage</t>
        </r>
      </text>
    </comment>
  </commentList>
</comments>
</file>

<file path=xl/sharedStrings.xml><?xml version="1.0" encoding="utf-8"?>
<sst xmlns="http://schemas.openxmlformats.org/spreadsheetml/2006/main" count="871" uniqueCount="151">
  <si>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</si>
  <si>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</si>
  <si>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</si>
  <si>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</si>
  <si>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</si>
  <si>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</si>
  <si>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</si>
  <si>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</si>
  <si>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</si>
  <si>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</si>
  <si>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</si>
  <si>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</si>
  <si>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</si>
  <si>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</si>
  <si>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</si>
  <si>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</si>
  <si>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</si>
  <si>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</si>
  <si>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</si>
  <si>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</si>
  <si>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</si>
  <si>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</si>
  <si>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</si>
  <si>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</si>
  <si>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</si>
  <si>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</si>
  <si>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</si>
  <si>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</si>
  <si>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</si>
  <si>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</si>
  <si>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</si>
  <si>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</si>
  <si>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</si>
  <si>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</si>
  <si>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</si>
  <si>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</si>
  <si>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</si>
  <si>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</si>
  <si>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</si>
  <si>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</si>
  <si>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</si>
  <si>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</si>
  <si>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</si>
  <si>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</si>
  <si>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</si>
  <si>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</si>
  <si>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</si>
  <si>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</si>
  <si>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</si>
  <si>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</si>
  <si>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</si>
  <si>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</si>
  <si>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</si>
  <si>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</si>
  <si>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</si>
  <si>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</si>
  <si>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</si>
  <si>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</si>
  <si>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EDV und Telefon</t>
  </si>
  <si>
    <t>Notwendiger Umsatz je Mitarbeiter und Monat zuzüglich Mehrwertsteuer</t>
  </si>
  <si>
    <t>Notwendiger Umsatz je Mitarbeiter und Jahr zuzüglich Mehrwertsteuer</t>
  </si>
  <si>
    <t>Beispielkalkulation: Verrechnungsstundensatz Leistungskategorie A1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</si>
  <si>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</si>
  <si>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</si>
  <si>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</si>
  <si>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</si>
  <si>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</si>
  <si>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</si>
  <si>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</si>
  <si>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</si>
  <si>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</si>
  <si>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</si>
  <si>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</si>
  <si>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</si>
  <si>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</si>
  <si>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</si>
  <si>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</si>
  <si>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</si>
  <si>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</si>
  <si>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</si>
  <si>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</si>
  <si>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</si>
  <si>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</si>
  <si>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</si>
  <si>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</si>
  <si>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</si>
  <si>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</si>
  <si>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</si>
  <si>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</si>
  <si>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</si>
  <si>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</si>
  <si>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</si>
  <si>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</si>
  <si>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</si>
  <si>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</si>
  <si>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</si>
  <si>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</si>
  <si>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</si>
  <si>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</si>
  <si>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r>
      <rPr>
        <b/>
        <sz val="9"/>
        <color theme="1"/>
        <rFont val="Arial"/>
        <family val="2"/>
      </rPr>
      <t xml:space="preserve">Leistungskategorie A: 
</t>
    </r>
    <r>
      <rPr>
        <sz val="9"/>
        <color theme="1"/>
        <rFont val="Arial"/>
        <family val="2"/>
      </rPr>
      <t xml:space="preserve">Konzeptive und strategische Aufgaben - Senior Experts; Expertentätigkeit, die von Ziviltechnikern erbracht wird, wie Projektleitung, Projektsteuerung, Analytik, Konzeption, Gestaltung, Konstruktion, allgemeine, strategische, ökonomische, ökologische Beratung, Leitung örtl. Bauaufsichten, Vertretung des Auftraggebers und dgl. </t>
    </r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</si>
  <si>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</si>
  <si>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</si>
  <si>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</si>
  <si>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</si>
  <si>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</si>
  <si>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</si>
  <si>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</si>
  <si>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</si>
  <si>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</si>
  <si>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</si>
  <si>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</si>
  <si>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</si>
  <si>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</si>
  <si>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</si>
  <si>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</si>
  <si>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t>abhängig von betr. Kalkulation</t>
  </si>
  <si>
    <t>anteilige Unternehmervergütung (GF-Gehalt)</t>
  </si>
  <si>
    <t>Beispielkalkulation: Verrechnungsstundensatz Leistungskategorie A2</t>
  </si>
  <si>
    <r>
      <rPr>
        <b/>
        <sz val="9"/>
        <color theme="1"/>
        <rFont val="Arial"/>
        <family val="2"/>
      </rPr>
      <t xml:space="preserve"> Leistungskategorie A: </t>
    </r>
    <r>
      <rPr>
        <sz val="9"/>
        <color theme="1"/>
        <rFont val="Arial"/>
        <family val="2"/>
      </rPr>
      <t xml:space="preserve">
 Konzeptive und strategische Aufgaben - Senior Experts; Expertentätigkeit, die von   
 Ziviltechnikern erbracht wird, wie Projektleitung, Projektsteuerung, Analytik, Konzeption, 
 Gestaltung, Konstruktion, allgemeine, strategische, ökonomische, ökologische Beratung, 
 Leitung örtl. Bauaufsichten, Vertretung des Auftraggebers und dgl. </t>
    </r>
  </si>
  <si>
    <t>Beispielkalkulation: Verrechnungsstundensatz Leistungskategorie B2</t>
  </si>
  <si>
    <r>
      <rPr>
        <b/>
        <sz val="9"/>
        <color theme="1"/>
        <rFont val="Arial"/>
        <family val="2"/>
      </rPr>
      <t xml:space="preserve">Leistungskategorie B2:
</t>
    </r>
    <r>
      <rPr>
        <sz val="9"/>
        <color theme="1"/>
        <rFont val="Arial"/>
        <family val="2"/>
      </rPr>
      <t>Ingenieure, Konstrukteure, Ausschreiber, Bauabrechnung (Fachpersonal mit einschlägiger Ausbildung / mit bis zu 3-jähriger Erfahrung, unterer Bereich der Bandbreite)</t>
    </r>
  </si>
  <si>
    <t>Beispielkalkulation: Verrechnungsstundensatz Leistungskategorie B und B1</t>
  </si>
  <si>
    <r>
      <rPr>
        <b/>
        <sz val="9"/>
        <color theme="1"/>
        <rFont val="Arial"/>
        <family val="2"/>
      </rPr>
      <t xml:space="preserve">Leistungskategorie B und B1:
</t>
    </r>
    <r>
      <rPr>
        <sz val="9"/>
        <color theme="1"/>
        <rFont val="Arial"/>
        <family val="2"/>
      </rPr>
      <t>Technische u. wirtschaftliche Aufgaben; Experts, Junior Experts
Ingenieure und Experten für Entwurf, Konstruktion, Bemessung, Projektmanagement, Bauaufsicht, etc. (Experten mit mehr als 
3-jähriger Erfahrung, oberer Bereich der Bandbreite)</t>
    </r>
  </si>
  <si>
    <t>Beispielkalkulation: Verrechnungsstundensatz Leistungskategorie C</t>
  </si>
  <si>
    <r>
      <rPr>
        <b/>
        <sz val="9"/>
        <color theme="1"/>
        <rFont val="Arial"/>
        <family val="2"/>
      </rPr>
      <t xml:space="preserve">Leistungskategorie C:
</t>
    </r>
    <r>
      <rPr>
        <sz val="9"/>
        <color theme="1"/>
        <rFont val="Arial"/>
        <family val="2"/>
      </rPr>
      <t>Administrative Aufgaben
Kaufmännische Assistenz, Sekretariat, technisches Hilfspersonal (Technisches und kaufmännisches Hilfspersonal)</t>
    </r>
  </si>
  <si>
    <r>
      <t xml:space="preserve">nach Allgemeinen Regelungen: 
Stundensatz 
</t>
    </r>
    <r>
      <rPr>
        <b/>
        <sz val="10"/>
        <color theme="1"/>
        <rFont val="Arial"/>
        <family val="2"/>
      </rPr>
      <t>120 - 200 Euro</t>
    </r>
  </si>
  <si>
    <t xml:space="preserve"> durch den Anwender einzusetzen</t>
  </si>
  <si>
    <r>
      <t xml:space="preserve"> nach  
 Allgemeinen  
 Regelungen: 
 Stundensatz 
 </t>
    </r>
    <r>
      <rPr>
        <b/>
        <sz val="10"/>
        <color theme="1"/>
        <rFont val="Arial"/>
        <family val="2"/>
      </rPr>
      <t>120-200 Euro</t>
    </r>
  </si>
  <si>
    <t>nach Allgemeinen Regelungen: 
Stundensatz 
85 -120  bzw. 
90 - 120 Euro</t>
  </si>
  <si>
    <t>nach Allgemeinen Regelungen: 
Stundensatz 
85 - 100 Euro</t>
  </si>
  <si>
    <r>
      <t xml:space="preserve">nach Allgemeinen Regelungen: 
Stundensatz 
</t>
    </r>
    <r>
      <rPr>
        <b/>
        <sz val="10"/>
        <color theme="1"/>
        <rFont val="Arial"/>
        <family val="2"/>
      </rPr>
      <t>45 - 70 Euro</t>
    </r>
  </si>
  <si>
    <t>19 b)</t>
  </si>
  <si>
    <t>19 a)</t>
  </si>
  <si>
    <t>Pflegeurlaub</t>
  </si>
  <si>
    <t>abzüglich Krankenstandstage*</t>
  </si>
  <si>
    <t>* Werte 2016 lt. Statistik Austria - Pro Erwerbstätigen entfallende Tage</t>
  </si>
  <si>
    <r>
      <t xml:space="preserve">Daten aus Kollektivvertrag 2020: 
</t>
    </r>
    <r>
      <rPr>
        <sz val="10"/>
        <color theme="1"/>
        <rFont val="Arial"/>
        <family val="2"/>
      </rPr>
      <t xml:space="preserve">Beschäftigungsgruppe 6 im Jahr 3 
</t>
    </r>
    <r>
      <rPr>
        <b/>
        <sz val="10"/>
        <color theme="1"/>
        <rFont val="Arial"/>
        <family val="2"/>
      </rPr>
      <t xml:space="preserve">Daten aus Kollektivvertrag 2020: </t>
    </r>
    <r>
      <rPr>
        <sz val="10"/>
        <color theme="1"/>
        <rFont val="Arial"/>
        <family val="2"/>
      </rPr>
      <t xml:space="preserve">
Beschäftigungsgruppe 6 im Jahr 14</t>
    </r>
  </si>
  <si>
    <t>2020: BG 6/3</t>
  </si>
  <si>
    <t>2020: BG 6/14</t>
  </si>
  <si>
    <t>Version 13     07.01.2020</t>
  </si>
  <si>
    <t>auf Basis Kollektivvertrag 01.01.2020</t>
  </si>
  <si>
    <r>
      <t xml:space="preserve">Daten aus Kollektivvertrag 2020: 
</t>
    </r>
    <r>
      <rPr>
        <sz val="10"/>
        <color theme="1"/>
        <rFont val="Arial"/>
        <family val="2"/>
      </rPr>
      <t xml:space="preserve">Beschäftigungsgruppe 5 im Jahr 5
</t>
    </r>
    <r>
      <rPr>
        <b/>
        <sz val="10"/>
        <color theme="1"/>
        <rFont val="Arial"/>
        <family val="2"/>
      </rPr>
      <t xml:space="preserve">Daten aus Kollektivvertrag 2020: </t>
    </r>
    <r>
      <rPr>
        <sz val="10"/>
        <color theme="1"/>
        <rFont val="Arial"/>
        <family val="2"/>
      </rPr>
      <t xml:space="preserve">
Beschäftigungsgruppe 5 im Jahr 14</t>
    </r>
  </si>
  <si>
    <r>
      <t xml:space="preserve">Daten aus Kollektivvertrag 2020: 
</t>
    </r>
    <r>
      <rPr>
        <sz val="10"/>
        <color theme="1"/>
        <rFont val="Arial"/>
        <family val="2"/>
      </rPr>
      <t xml:space="preserve">Beschäftigungsgruppe 4 im Jahr 3
</t>
    </r>
    <r>
      <rPr>
        <b/>
        <sz val="10"/>
        <color theme="1"/>
        <rFont val="Arial"/>
        <family val="2"/>
      </rPr>
      <t xml:space="preserve">Daten aus Kollektivvertrag 2020: </t>
    </r>
    <r>
      <rPr>
        <sz val="10"/>
        <color theme="1"/>
        <rFont val="Arial"/>
        <family val="2"/>
      </rPr>
      <t xml:space="preserve">
Beschäftigungsgruppe 4 im Jahr 14</t>
    </r>
  </si>
  <si>
    <t>2020: BG 4/3</t>
  </si>
  <si>
    <t>2020: BG 4/14</t>
  </si>
  <si>
    <t>2020: BG 5/5</t>
  </si>
  <si>
    <t>2020: BG 5/14</t>
  </si>
  <si>
    <t>2020: BG 3/5</t>
  </si>
  <si>
    <t>2020: BG 3/14</t>
  </si>
  <si>
    <r>
      <t xml:space="preserve">Daten aus Kollektivvertrag 2020: 
</t>
    </r>
    <r>
      <rPr>
        <sz val="10"/>
        <color theme="1"/>
        <rFont val="Arial"/>
        <family val="2"/>
      </rPr>
      <t xml:space="preserve">Beschäftigungsgruppe 3 im Jahr 5
</t>
    </r>
    <r>
      <rPr>
        <b/>
        <sz val="10"/>
        <color theme="1"/>
        <rFont val="Arial"/>
        <family val="2"/>
      </rPr>
      <t xml:space="preserve">Daten aus Kollektivvertrag 2020: </t>
    </r>
    <r>
      <rPr>
        <sz val="10"/>
        <color theme="1"/>
        <rFont val="Arial"/>
        <family val="2"/>
      </rPr>
      <t xml:space="preserve">
Beschäftigungsgruppe 3 im Jahr 14</t>
    </r>
  </si>
  <si>
    <t xml:space="preserve">Version 13     07.01.2020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</si>
</sst>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theme="0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9" fontId="9" fillId="0" borderId="24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" fontId="1" fillId="0" borderId="37" xfId="0" applyNumberFormat="1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10" fontId="1" fillId="0" borderId="36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4" fontId="1" fillId="0" borderId="46" xfId="0" applyNumberFormat="1" applyFont="1" applyBorder="1" applyAlignment="1">
      <alignment vertical="center"/>
    </xf>
    <xf numFmtId="4" fontId="3" fillId="0" borderId="46" xfId="0" applyNumberFormat="1" applyFont="1" applyBorder="1" applyAlignment="1">
      <alignment vertical="center"/>
    </xf>
    <xf numFmtId="4" fontId="3" fillId="0" borderId="37" xfId="0" applyNumberFormat="1" applyFont="1" applyBorder="1" applyAlignment="1">
      <alignment vertical="center"/>
    </xf>
    <xf numFmtId="4" fontId="3" fillId="2" borderId="42" xfId="0" applyNumberFormat="1" applyFont="1" applyFill="1" applyBorder="1" applyAlignment="1">
      <alignment vertical="center"/>
    </xf>
    <xf numFmtId="4" fontId="3" fillId="2" borderId="44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6" xfId="0" applyNumberFormat="1" applyFont="1" applyBorder="1" applyAlignment="1">
      <alignment horizontal="center" vertical="center"/>
    </xf>
    <xf numFmtId="164" fontId="14" fillId="3" borderId="36" xfId="0" applyNumberFormat="1" applyFont="1" applyFill="1" applyBorder="1" applyAlignment="1">
      <alignment horizontal="center" vertical="center"/>
    </xf>
    <xf numFmtId="4" fontId="13" fillId="3" borderId="37" xfId="0" applyNumberFormat="1" applyFont="1" applyFill="1" applyBorder="1" applyAlignment="1">
      <alignment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4" fontId="3" fillId="2" borderId="37" xfId="0" applyNumberFormat="1" applyFont="1" applyFill="1" applyBorder="1" applyAlignment="1">
      <alignment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9" fontId="9" fillId="0" borderId="36" xfId="0" applyNumberFormat="1" applyFont="1" applyBorder="1" applyAlignment="1">
      <alignment horizontal="center" vertical="center"/>
    </xf>
    <xf numFmtId="9" fontId="9" fillId="0" borderId="49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0" xfId="0" applyNumberFormat="1" applyFont="1" applyBorder="1" applyAlignment="1">
      <alignment vertical="center"/>
    </xf>
    <xf numFmtId="4" fontId="1" fillId="0" borderId="52" xfId="0" applyNumberFormat="1" applyFont="1" applyBorder="1" applyAlignment="1">
      <alignment vertical="center"/>
    </xf>
    <xf numFmtId="4" fontId="1" fillId="0" borderId="54" xfId="0" applyNumberFormat="1" applyFont="1" applyBorder="1" applyAlignment="1">
      <alignment vertical="center"/>
    </xf>
    <xf numFmtId="0" fontId="1" fillId="0" borderId="38" xfId="0" applyFont="1" applyFill="1" applyBorder="1" applyAlignment="1">
      <alignment horizontal="center" vertical="center"/>
    </xf>
    <xf numFmtId="4" fontId="3" fillId="0" borderId="39" xfId="0" applyNumberFormat="1" applyFont="1" applyFill="1" applyBorder="1" applyAlignment="1">
      <alignment vertical="center"/>
    </xf>
    <xf numFmtId="0" fontId="1" fillId="2" borderId="49" xfId="0" applyFont="1" applyFill="1" applyBorder="1" applyAlignment="1">
      <alignment horizontal="center" vertical="center"/>
    </xf>
    <xf numFmtId="4" fontId="3" fillId="2" borderId="50" xfId="0" applyNumberFormat="1" applyFont="1" applyFill="1" applyBorder="1" applyAlignment="1">
      <alignment vertical="center"/>
    </xf>
    <xf numFmtId="0" fontId="1" fillId="0" borderId="55" xfId="0" applyFont="1" applyBorder="1" applyAlignment="1">
      <alignment horizontal="center" vertical="center"/>
    </xf>
    <xf numFmtId="4" fontId="3" fillId="0" borderId="56" xfId="0" applyNumberFormat="1" applyFont="1" applyBorder="1" applyAlignment="1">
      <alignment vertical="center"/>
    </xf>
    <xf numFmtId="0" fontId="1" fillId="0" borderId="57" xfId="0" applyFont="1" applyBorder="1" applyAlignment="1">
      <alignment horizontal="center" vertical="center"/>
    </xf>
    <xf numFmtId="4" fontId="3" fillId="0" borderId="58" xfId="0" applyNumberFormat="1" applyFont="1" applyBorder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6" xfId="0" applyNumberFormat="1" applyFont="1" applyBorder="1" applyAlignment="1">
      <alignment vertical="center"/>
    </xf>
    <xf numFmtId="4" fontId="1" fillId="0" borderId="58" xfId="0" applyNumberFormat="1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4" fontId="1" fillId="0" borderId="62" xfId="0" applyNumberFormat="1" applyFont="1" applyBorder="1" applyAlignment="1">
      <alignment vertical="center"/>
    </xf>
    <xf numFmtId="0" fontId="1" fillId="0" borderId="63" xfId="0" applyFont="1" applyBorder="1" applyAlignment="1">
      <alignment horizontal="center" vertical="center"/>
    </xf>
    <xf numFmtId="4" fontId="1" fillId="0" borderId="60" xfId="0" applyNumberFormat="1" applyFont="1" applyFill="1" applyBorder="1" applyAlignment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4" fontId="1" fillId="0" borderId="60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5" xfId="0" applyNumberFormat="1" applyFont="1" applyBorder="1" applyAlignment="1">
      <alignment horizontal="center" vertical="center"/>
    </xf>
    <xf numFmtId="9" fontId="1" fillId="0" borderId="57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1" xfId="0" applyNumberFormat="1" applyFont="1" applyBorder="1" applyAlignment="1">
      <alignment horizontal="center" vertical="center"/>
    </xf>
    <xf numFmtId="4" fontId="3" fillId="0" borderId="62" xfId="0" applyNumberFormat="1" applyFont="1" applyBorder="1" applyAlignment="1">
      <alignment vertical="center"/>
    </xf>
    <xf numFmtId="9" fontId="1" fillId="0" borderId="63" xfId="0" applyNumberFormat="1" applyFont="1" applyBorder="1" applyAlignment="1">
      <alignment horizontal="center" vertical="center"/>
    </xf>
    <xf numFmtId="4" fontId="3" fillId="0" borderId="60" xfId="0" applyNumberFormat="1" applyFont="1" applyBorder="1" applyAlignment="1">
      <alignment vertical="center"/>
    </xf>
    <xf numFmtId="4" fontId="1" fillId="0" borderId="64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0" fontId="6" fillId="0" borderId="67" xfId="0" applyFont="1" applyBorder="1" applyAlignment="1">
      <alignment horizontal="center" vertical="center"/>
    </xf>
    <xf numFmtId="9" fontId="3" fillId="0" borderId="69" xfId="0" applyNumberFormat="1" applyFont="1" applyBorder="1" applyAlignment="1">
      <alignment horizontal="center" vertical="center"/>
    </xf>
    <xf numFmtId="9" fontId="1" fillId="0" borderId="70" xfId="0" applyNumberFormat="1" applyFont="1" applyBorder="1" applyAlignment="1">
      <alignment horizontal="center" vertical="center"/>
    </xf>
    <xf numFmtId="9" fontId="3" fillId="0" borderId="71" xfId="0" applyNumberFormat="1" applyFont="1" applyBorder="1" applyAlignment="1">
      <alignment horizontal="center" vertical="center"/>
    </xf>
    <xf numFmtId="10" fontId="3" fillId="0" borderId="6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0" fontId="1" fillId="0" borderId="68" xfId="0" applyNumberFormat="1" applyFont="1" applyBorder="1" applyAlignment="1">
      <alignment horizontal="center" vertical="center"/>
    </xf>
    <xf numFmtId="10" fontId="1" fillId="0" borderId="66" xfId="0" applyNumberFormat="1" applyFont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9" fontId="1" fillId="0" borderId="47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5" xfId="0" applyNumberFormat="1" applyFont="1" applyFill="1" applyBorder="1" applyAlignment="1">
      <alignment horizontal="center" vertical="center"/>
    </xf>
    <xf numFmtId="9" fontId="1" fillId="0" borderId="57" xfId="0" applyNumberFormat="1" applyFont="1" applyFill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10" fontId="1" fillId="0" borderId="70" xfId="0" applyNumberFormat="1" applyFont="1" applyBorder="1" applyAlignment="1">
      <alignment horizontal="center" vertical="center"/>
    </xf>
    <xf numFmtId="0" fontId="6" fillId="0" borderId="77" xfId="0" applyFont="1" applyBorder="1" applyAlignment="1">
      <alignment vertical="center"/>
    </xf>
    <xf numFmtId="0" fontId="1" fillId="0" borderId="77" xfId="0" applyFont="1" applyBorder="1" applyAlignment="1">
      <alignment vertical="center"/>
    </xf>
    <xf numFmtId="10" fontId="1" fillId="0" borderId="78" xfId="0" applyNumberFormat="1" applyFont="1" applyBorder="1" applyAlignment="1">
      <alignment horizontal="center" vertical="center"/>
    </xf>
    <xf numFmtId="10" fontId="1" fillId="0" borderId="79" xfId="0" applyNumberFormat="1" applyFont="1" applyBorder="1" applyAlignment="1">
      <alignment horizontal="center" vertical="center"/>
    </xf>
    <xf numFmtId="4" fontId="1" fillId="0" borderId="80" xfId="0" applyNumberFormat="1" applyFont="1" applyBorder="1" applyAlignment="1">
      <alignment vertical="center"/>
    </xf>
    <xf numFmtId="10" fontId="1" fillId="0" borderId="81" xfId="0" applyNumberFormat="1" applyFont="1" applyBorder="1" applyAlignment="1">
      <alignment horizontal="center" vertical="center"/>
    </xf>
    <xf numFmtId="4" fontId="1" fillId="0" borderId="82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0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6" xfId="0" applyFont="1" applyFill="1" applyBorder="1" applyAlignment="1">
      <alignment horizontal="center" vertical="center"/>
    </xf>
    <xf numFmtId="9" fontId="1" fillId="4" borderId="70" xfId="0" applyNumberFormat="1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71" xfId="0" applyFont="1" applyFill="1" applyBorder="1" applyAlignment="1" applyProtection="1">
      <alignment horizontal="center" vertical="center"/>
      <protection locked="0"/>
    </xf>
    <xf numFmtId="9" fontId="1" fillId="4" borderId="66" xfId="0" applyNumberFormat="1" applyFont="1" applyFill="1" applyBorder="1" applyAlignment="1" applyProtection="1">
      <alignment horizontal="center" vertical="center"/>
      <protection locked="0"/>
    </xf>
    <xf numFmtId="9" fontId="1" fillId="4" borderId="68" xfId="0" applyNumberFormat="1" applyFont="1" applyFill="1" applyBorder="1" applyAlignment="1" applyProtection="1">
      <alignment horizontal="center" vertical="center"/>
      <protection locked="0"/>
    </xf>
    <xf numFmtId="9" fontId="1" fillId="4" borderId="7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7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0" borderId="0" xfId="0" applyFont="1"/>
    <xf numFmtId="0" fontId="18" fillId="3" borderId="0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3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6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3" fillId="3" borderId="8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23322" y="859971"/>
          <a:ext cx="1715033" cy="147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A1</a:t>
          </a:r>
        </a:p>
      </xdr:txBody>
    </xdr:sp>
    <xdr:clientData/>
  </xdr:twoCellAnchor>
  <xdr:twoCellAnchor>
    <xdr:from>
      <xdr:col>8</xdr:col>
      <xdr:colOff>530680</xdr:colOff>
      <xdr:row>2</xdr:row>
      <xdr:rowOff>462642</xdr:rowOff>
    </xdr:from>
    <xdr:to>
      <xdr:col>10</xdr:col>
      <xdr:colOff>762001</xdr:colOff>
      <xdr:row>2</xdr:row>
      <xdr:rowOff>1061356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98430" y="1469571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28925" y="858371"/>
          <a:ext cx="1714232" cy="148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A2</a:t>
          </a:r>
        </a:p>
      </xdr:txBody>
    </xdr:sp>
    <xdr:clientData/>
  </xdr:twoCellAnchor>
  <xdr:twoCellAnchor>
    <xdr:from>
      <xdr:col>8</xdr:col>
      <xdr:colOff>653143</xdr:colOff>
      <xdr:row>2</xdr:row>
      <xdr:rowOff>449035</xdr:rowOff>
    </xdr:from>
    <xdr:to>
      <xdr:col>11</xdr:col>
      <xdr:colOff>-1</xdr:colOff>
      <xdr:row>2</xdr:row>
      <xdr:rowOff>1047749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20893" y="1449160"/>
          <a:ext cx="150903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7</xdr:col>
      <xdr:colOff>217712</xdr:colOff>
      <xdr:row>1</xdr:row>
      <xdr:rowOff>193221</xdr:rowOff>
    </xdr:from>
    <xdr:to>
      <xdr:col>11</xdr:col>
      <xdr:colOff>95250</xdr:colOff>
      <xdr:row>4</xdr:row>
      <xdr:rowOff>11206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523512" y="898071"/>
          <a:ext cx="2401663" cy="1313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400" spc="-25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B/B1</a:t>
          </a:r>
        </a:p>
      </xdr:txBody>
    </xdr:sp>
    <xdr:clientData/>
  </xdr:twoCellAnchor>
  <xdr:twoCellAnchor>
    <xdr:from>
      <xdr:col>8</xdr:col>
      <xdr:colOff>612323</xdr:colOff>
      <xdr:row>2</xdr:row>
      <xdr:rowOff>449035</xdr:rowOff>
    </xdr:from>
    <xdr:to>
      <xdr:col>10</xdr:col>
      <xdr:colOff>843644</xdr:colOff>
      <xdr:row>2</xdr:row>
      <xdr:rowOff>1047749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280073" y="1449160"/>
          <a:ext cx="150767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B2</a:t>
          </a:r>
        </a:p>
      </xdr:txBody>
    </xdr:sp>
    <xdr:clientData/>
  </xdr:twoCellAnchor>
  <xdr:twoCellAnchor>
    <xdr:from>
      <xdr:col>8</xdr:col>
      <xdr:colOff>661146</xdr:colOff>
      <xdr:row>2</xdr:row>
      <xdr:rowOff>459441</xdr:rowOff>
    </xdr:from>
    <xdr:to>
      <xdr:col>11</xdr:col>
      <xdr:colOff>7203</xdr:colOff>
      <xdr:row>2</xdr:row>
      <xdr:rowOff>1065359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328896" y="1459566"/>
          <a:ext cx="1508232" cy="605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60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8</xdr:col>
      <xdr:colOff>544287</xdr:colOff>
      <xdr:row>2</xdr:row>
      <xdr:rowOff>503464</xdr:rowOff>
    </xdr:from>
    <xdr:to>
      <xdr:col>10</xdr:col>
      <xdr:colOff>775608</xdr:colOff>
      <xdr:row>3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212037" y="1503589"/>
          <a:ext cx="1507671" cy="601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89"/>
  <sheetViews>
    <sheetView showGridLines="0" tabSelected="1" view="pageBreakPreview" zoomScale="85" zoomScaleNormal="70" zoomScaleSheetLayoutView="85" zoomScalePageLayoutView="70" workbookViewId="0">
      <selection activeCell="B1" sqref="B1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3" ht="55.5" customHeight="1" thickBot="1" x14ac:dyDescent="0.25">
      <c r="B1" s="1" t="s">
        <v>0</v>
      </c>
    </row>
    <row r="2" spans="2:13" ht="23.25" customHeight="1" thickBot="1" x14ac:dyDescent="0.3">
      <c r="B2" s="13" t="s">
        <v>61</v>
      </c>
      <c r="C2" s="14"/>
      <c r="D2" s="15"/>
      <c r="E2" s="15"/>
      <c r="F2" s="15"/>
      <c r="G2" s="34"/>
      <c r="H2" s="34"/>
      <c r="I2" s="15"/>
      <c r="J2" s="34"/>
      <c r="K2" s="16"/>
    </row>
    <row r="3" spans="2:13" ht="87" customHeight="1" x14ac:dyDescent="0.2">
      <c r="B3" s="230" t="s">
        <v>99</v>
      </c>
      <c r="C3" s="231"/>
      <c r="D3" s="231"/>
      <c r="E3" s="72" t="s">
        <v>125</v>
      </c>
      <c r="F3" s="232" t="s">
        <v>136</v>
      </c>
      <c r="G3" s="233"/>
      <c r="H3" s="233"/>
      <c r="I3" s="233"/>
      <c r="J3" s="233"/>
      <c r="K3" s="234"/>
    </row>
    <row r="4" spans="2:13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3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137</v>
      </c>
      <c r="I5" s="239"/>
      <c r="J5" s="236" t="s">
        <v>138</v>
      </c>
      <c r="K5" s="237"/>
    </row>
    <row r="6" spans="2:13" s="2" customFormat="1" ht="15" customHeight="1" x14ac:dyDescent="0.25">
      <c r="B6" s="3"/>
      <c r="C6" s="4"/>
      <c r="D6" s="4"/>
      <c r="E6" s="4"/>
      <c r="F6" s="164" t="s">
        <v>65</v>
      </c>
      <c r="G6" s="198" t="s">
        <v>101</v>
      </c>
      <c r="H6" s="87"/>
      <c r="I6" s="67" t="s">
        <v>67</v>
      </c>
      <c r="J6" s="35"/>
      <c r="K6" s="88" t="s">
        <v>66</v>
      </c>
    </row>
    <row r="7" spans="2:13" s="2" customFormat="1" ht="15" x14ac:dyDescent="0.25">
      <c r="B7" s="58" t="s">
        <v>41</v>
      </c>
      <c r="C7" s="5">
        <v>1</v>
      </c>
      <c r="D7" s="4" t="s">
        <v>53</v>
      </c>
      <c r="E7" s="4"/>
      <c r="F7" s="165"/>
      <c r="G7" s="199"/>
      <c r="H7" s="89" t="s">
        <v>95</v>
      </c>
      <c r="I7" s="20">
        <v>4030</v>
      </c>
      <c r="J7" s="36" t="s">
        <v>95</v>
      </c>
      <c r="K7" s="150">
        <v>4888</v>
      </c>
      <c r="M7" s="150"/>
    </row>
    <row r="8" spans="2:13" s="2" customFormat="1" ht="15" x14ac:dyDescent="0.25">
      <c r="B8" s="58" t="s">
        <v>0</v>
      </c>
      <c r="C8" s="5">
        <v>2</v>
      </c>
      <c r="D8" s="172" t="s">
        <v>54</v>
      </c>
      <c r="E8" s="172"/>
      <c r="F8" s="192">
        <v>0.3</v>
      </c>
      <c r="G8" s="200" t="s">
        <v>102</v>
      </c>
      <c r="H8" s="173" t="s">
        <v>95</v>
      </c>
      <c r="I8" s="126">
        <f>ROUND(I7*(1+F8),2)</f>
        <v>5239</v>
      </c>
      <c r="J8" s="174" t="s">
        <v>95</v>
      </c>
      <c r="K8" s="128">
        <f>ROUND(K7*(1+F8),2)</f>
        <v>6354.4</v>
      </c>
    </row>
    <row r="9" spans="2:13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68</v>
      </c>
      <c r="H9" s="89" t="s">
        <v>95</v>
      </c>
      <c r="I9" s="20">
        <f>ROUND(I8/F9,2)</f>
        <v>1209.93</v>
      </c>
      <c r="J9" s="36" t="s">
        <v>95</v>
      </c>
      <c r="K9" s="150">
        <f>ROUND(K8/F9,2)</f>
        <v>1467.53</v>
      </c>
    </row>
    <row r="10" spans="2:13" s="2" customFormat="1" x14ac:dyDescent="0.25">
      <c r="B10" s="3" t="s">
        <v>0</v>
      </c>
      <c r="C10" s="5">
        <v>4</v>
      </c>
      <c r="D10" s="28" t="s">
        <v>97</v>
      </c>
      <c r="E10" s="28"/>
      <c r="F10" s="162">
        <v>40</v>
      </c>
      <c r="G10" s="202" t="s">
        <v>69</v>
      </c>
      <c r="H10" s="93" t="s">
        <v>95</v>
      </c>
      <c r="I10" s="75">
        <f>ROUND(I9/F10,2)</f>
        <v>30.25</v>
      </c>
      <c r="J10" s="74" t="s">
        <v>95</v>
      </c>
      <c r="K10" s="94">
        <f>ROUND(K9/F10,2)</f>
        <v>36.69</v>
      </c>
    </row>
    <row r="11" spans="2:13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3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70</v>
      </c>
      <c r="H12" s="93" t="s">
        <v>95</v>
      </c>
      <c r="I12" s="75">
        <f>ROUND($I$8*F12,2)</f>
        <v>1143.67</v>
      </c>
      <c r="J12" s="74" t="s">
        <v>95</v>
      </c>
      <c r="K12" s="94">
        <f>ROUND($K$8*F12,2)</f>
        <v>1387.17</v>
      </c>
    </row>
    <row r="13" spans="2:13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71</v>
      </c>
      <c r="H13" s="93" t="s">
        <v>95</v>
      </c>
      <c r="I13" s="75">
        <f>ROUND($I$8*F13,2)</f>
        <v>235.76</v>
      </c>
      <c r="J13" s="74" t="s">
        <v>95</v>
      </c>
      <c r="K13" s="94">
        <f>ROUND($K$8*F13,2)</f>
        <v>285.95</v>
      </c>
    </row>
    <row r="14" spans="2:13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72</v>
      </c>
      <c r="H14" s="93" t="s">
        <v>95</v>
      </c>
      <c r="I14" s="75">
        <f>ROUND($I$8*F14,2)</f>
        <v>157.16999999999999</v>
      </c>
      <c r="J14" s="74" t="s">
        <v>95</v>
      </c>
      <c r="K14" s="94">
        <f>ROUND($K$8*F14,2)</f>
        <v>190.63</v>
      </c>
    </row>
    <row r="15" spans="2:13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73</v>
      </c>
      <c r="H15" s="93" t="s">
        <v>95</v>
      </c>
      <c r="I15" s="75">
        <f>ROUND($I$8*F15,2)</f>
        <v>80.16</v>
      </c>
      <c r="J15" s="74" t="s">
        <v>95</v>
      </c>
      <c r="K15" s="94">
        <f>ROUND($K$8*F15,2)</f>
        <v>97.22</v>
      </c>
    </row>
    <row r="16" spans="2:13" s="2" customFormat="1" x14ac:dyDescent="0.25">
      <c r="B16" s="3"/>
      <c r="C16" s="5">
        <v>10</v>
      </c>
      <c r="D16" s="31" t="s">
        <v>91</v>
      </c>
      <c r="E16" s="31"/>
      <c r="F16" s="176">
        <f>SUM(F12:F15)</f>
        <v>0.30859999999999999</v>
      </c>
      <c r="G16" s="204" t="s">
        <v>74</v>
      </c>
      <c r="H16" s="125" t="s">
        <v>95</v>
      </c>
      <c r="I16" s="132">
        <f>ROUND($I$8*F16,2)</f>
        <v>1616.76</v>
      </c>
      <c r="J16" s="127" t="s">
        <v>95</v>
      </c>
      <c r="K16" s="133">
        <f>ROUND($K$8*F16,2)</f>
        <v>1960.97</v>
      </c>
    </row>
    <row r="17" spans="2:11" s="2" customFormat="1" x14ac:dyDescent="0.25">
      <c r="B17" s="175" t="s">
        <v>55</v>
      </c>
      <c r="C17" s="18"/>
      <c r="D17" s="177" t="s">
        <v>93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56</v>
      </c>
      <c r="C18" s="5">
        <v>11</v>
      </c>
      <c r="D18" s="28" t="s">
        <v>91</v>
      </c>
      <c r="E18" s="28"/>
      <c r="F18" s="166">
        <f>F16-0.94%</f>
        <v>0.29920000000000002</v>
      </c>
      <c r="G18" s="203" t="s">
        <v>75</v>
      </c>
      <c r="H18" s="93" t="s">
        <v>95</v>
      </c>
      <c r="I18" s="75">
        <f>ROUND($I$8*F18,2)</f>
        <v>1567.51</v>
      </c>
      <c r="J18" s="74" t="s">
        <v>95</v>
      </c>
      <c r="K18" s="94">
        <f>ROUND($K$8*F18,2)</f>
        <v>1901.24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57</v>
      </c>
      <c r="E20" s="50"/>
      <c r="F20" s="168"/>
      <c r="G20" s="207" t="s">
        <v>76</v>
      </c>
      <c r="H20" s="121" t="s">
        <v>95</v>
      </c>
      <c r="I20" s="52">
        <f>ROUND((I8+I18)*2,2)</f>
        <v>13613.02</v>
      </c>
      <c r="J20" s="51" t="s">
        <v>95</v>
      </c>
      <c r="K20" s="122">
        <f>ROUND((K8+K18)*2,2)</f>
        <v>16511.28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98</v>
      </c>
      <c r="E22" s="64"/>
      <c r="F22" s="161"/>
      <c r="G22" s="209" t="s">
        <v>105</v>
      </c>
      <c r="H22" s="123"/>
      <c r="I22" s="66">
        <f>ROUND(((I8+I16)*12+I20)/12,2)</f>
        <v>7990.18</v>
      </c>
      <c r="J22" s="65"/>
      <c r="K22" s="124">
        <f>ROUND(((K8+K16)*12+K20)/12,2)</f>
        <v>9691.31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77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3">
        <v>13</v>
      </c>
      <c r="G26" s="202"/>
      <c r="H26" s="93"/>
      <c r="I26" s="75">
        <f>F26</f>
        <v>13</v>
      </c>
      <c r="J26" s="74"/>
      <c r="K26" s="94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3"/>
      <c r="G27" s="202" t="s">
        <v>103</v>
      </c>
      <c r="H27" s="93"/>
      <c r="I27" s="76">
        <f>ROUND(I24-I25-I26,2)</f>
        <v>248</v>
      </c>
      <c r="J27" s="74"/>
      <c r="K27" s="95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132</v>
      </c>
      <c r="D29" s="28" t="s">
        <v>134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131</v>
      </c>
      <c r="D30" s="28" t="s">
        <v>133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14</v>
      </c>
      <c r="E31" s="29"/>
      <c r="F31" s="163"/>
      <c r="G31" s="202" t="s">
        <v>78</v>
      </c>
      <c r="H31" s="93"/>
      <c r="I31" s="76">
        <f>ROUND(I27-I28-I29-I30,2)</f>
        <v>210.5</v>
      </c>
      <c r="J31" s="74"/>
      <c r="K31" s="95">
        <f>ROUND(K27-K28-K29-K30,2)</f>
        <v>210.5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15</v>
      </c>
      <c r="C33" s="5">
        <v>21</v>
      </c>
      <c r="D33" s="32" t="s">
        <v>16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43</v>
      </c>
      <c r="E34" s="28"/>
      <c r="F34" s="162"/>
      <c r="G34" s="202" t="s">
        <v>79</v>
      </c>
      <c r="H34" s="93"/>
      <c r="I34" s="75">
        <f>ROUND(I31*I33,2)</f>
        <v>1684</v>
      </c>
      <c r="J34" s="74"/>
      <c r="K34" s="94">
        <f>ROUND(K31*K33,2)</f>
        <v>1684</v>
      </c>
    </row>
    <row r="35" spans="2:11" s="2" customFormat="1" ht="15.75" thickBot="1" x14ac:dyDescent="0.3">
      <c r="B35" s="3"/>
      <c r="C35" s="5">
        <v>23</v>
      </c>
      <c r="D35" s="28" t="s">
        <v>44</v>
      </c>
      <c r="E35" s="31"/>
      <c r="F35" s="157"/>
      <c r="G35" s="204" t="s">
        <v>80</v>
      </c>
      <c r="H35" s="125"/>
      <c r="I35" s="126">
        <f>ROUND(I34/12,2)</f>
        <v>140.33000000000001</v>
      </c>
      <c r="J35" s="127"/>
      <c r="K35" s="128">
        <f>ROUND(K31/K24*30.4167*8,2)</f>
        <v>140.33000000000001</v>
      </c>
    </row>
    <row r="36" spans="2:11" s="2" customFormat="1" ht="12.75" customHeight="1" thickBot="1" x14ac:dyDescent="0.3">
      <c r="B36" s="3"/>
      <c r="C36" s="5"/>
      <c r="D36" s="31"/>
      <c r="E36" s="12" t="s">
        <v>94</v>
      </c>
      <c r="F36" s="152" t="s">
        <v>63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17</v>
      </c>
      <c r="C37" s="5">
        <v>24</v>
      </c>
      <c r="D37" s="32" t="s">
        <v>64</v>
      </c>
      <c r="E37" s="131">
        <v>20</v>
      </c>
      <c r="F37" s="194">
        <v>20</v>
      </c>
      <c r="G37" s="203" t="s">
        <v>106</v>
      </c>
      <c r="H37" s="93"/>
      <c r="I37" s="75">
        <f>ROUND(F37*$I$33,2)</f>
        <v>160</v>
      </c>
      <c r="J37" s="74"/>
      <c r="K37" s="94">
        <f t="shared" ref="K37:K43" si="0">ROUND(F37*$K$33,2)</f>
        <v>160</v>
      </c>
    </row>
    <row r="38" spans="2:11" s="2" customFormat="1" x14ac:dyDescent="0.25">
      <c r="B38" s="17" t="s">
        <v>42</v>
      </c>
      <c r="C38" s="5">
        <v>25</v>
      </c>
      <c r="D38" s="28" t="s">
        <v>18</v>
      </c>
      <c r="E38" s="30">
        <v>2</v>
      </c>
      <c r="F38" s="193">
        <v>2</v>
      </c>
      <c r="G38" s="203" t="s">
        <v>107</v>
      </c>
      <c r="H38" s="93"/>
      <c r="I38" s="75">
        <f t="shared" ref="I38:I43" si="1">ROUND(F38*$I$33,2)</f>
        <v>16</v>
      </c>
      <c r="J38" s="74"/>
      <c r="K38" s="94">
        <f t="shared" si="0"/>
        <v>16</v>
      </c>
    </row>
    <row r="39" spans="2:11" s="2" customFormat="1" x14ac:dyDescent="0.25">
      <c r="B39" s="3"/>
      <c r="C39" s="5">
        <v>26</v>
      </c>
      <c r="D39" s="28" t="s">
        <v>19</v>
      </c>
      <c r="E39" s="30">
        <v>4</v>
      </c>
      <c r="F39" s="193">
        <v>4</v>
      </c>
      <c r="G39" s="203" t="s">
        <v>108</v>
      </c>
      <c r="H39" s="93"/>
      <c r="I39" s="75">
        <f t="shared" si="1"/>
        <v>32</v>
      </c>
      <c r="J39" s="74"/>
      <c r="K39" s="94">
        <f t="shared" si="0"/>
        <v>32</v>
      </c>
    </row>
    <row r="40" spans="2:11" s="2" customFormat="1" x14ac:dyDescent="0.25">
      <c r="B40" s="3"/>
      <c r="C40" s="5">
        <v>27</v>
      </c>
      <c r="D40" s="28" t="s">
        <v>20</v>
      </c>
      <c r="E40" s="30">
        <v>20</v>
      </c>
      <c r="F40" s="193">
        <v>20</v>
      </c>
      <c r="G40" s="203" t="s">
        <v>109</v>
      </c>
      <c r="H40" s="93"/>
      <c r="I40" s="75">
        <f t="shared" si="1"/>
        <v>160</v>
      </c>
      <c r="J40" s="74"/>
      <c r="K40" s="94">
        <f t="shared" si="0"/>
        <v>160</v>
      </c>
    </row>
    <row r="41" spans="2:11" s="2" customFormat="1" x14ac:dyDescent="0.25">
      <c r="B41" s="3"/>
      <c r="C41" s="5">
        <v>28</v>
      </c>
      <c r="D41" s="28" t="s">
        <v>113</v>
      </c>
      <c r="E41" s="30">
        <v>5</v>
      </c>
      <c r="F41" s="193">
        <v>5</v>
      </c>
      <c r="G41" s="203" t="s">
        <v>110</v>
      </c>
      <c r="H41" s="93"/>
      <c r="I41" s="75">
        <f t="shared" si="1"/>
        <v>40</v>
      </c>
      <c r="J41" s="74"/>
      <c r="K41" s="94">
        <f t="shared" si="0"/>
        <v>40</v>
      </c>
    </row>
    <row r="42" spans="2:11" s="2" customFormat="1" x14ac:dyDescent="0.25">
      <c r="B42" s="3"/>
      <c r="C42" s="5">
        <v>29</v>
      </c>
      <c r="D42" s="28" t="s">
        <v>21</v>
      </c>
      <c r="E42" s="30">
        <v>10</v>
      </c>
      <c r="F42" s="193">
        <v>10</v>
      </c>
      <c r="G42" s="203" t="s">
        <v>111</v>
      </c>
      <c r="H42" s="93"/>
      <c r="I42" s="75">
        <f t="shared" si="1"/>
        <v>80</v>
      </c>
      <c r="J42" s="74"/>
      <c r="K42" s="94">
        <f t="shared" si="0"/>
        <v>80</v>
      </c>
    </row>
    <row r="43" spans="2:11" s="2" customFormat="1" x14ac:dyDescent="0.25">
      <c r="B43" s="3"/>
      <c r="C43" s="5">
        <v>30</v>
      </c>
      <c r="D43" s="28" t="s">
        <v>25</v>
      </c>
      <c r="E43" s="30">
        <v>30</v>
      </c>
      <c r="F43" s="193">
        <v>30</v>
      </c>
      <c r="G43" s="203" t="s">
        <v>112</v>
      </c>
      <c r="H43" s="93"/>
      <c r="I43" s="75">
        <f t="shared" si="1"/>
        <v>240</v>
      </c>
      <c r="J43" s="74"/>
      <c r="K43" s="94">
        <f t="shared" si="0"/>
        <v>240</v>
      </c>
    </row>
    <row r="44" spans="2:11" s="2" customFormat="1" ht="15" x14ac:dyDescent="0.25">
      <c r="B44" s="3"/>
      <c r="C44" s="5">
        <v>31</v>
      </c>
      <c r="D44" s="28" t="s">
        <v>46</v>
      </c>
      <c r="E44" s="28"/>
      <c r="F44" s="156">
        <f>I44/I34</f>
        <v>0.43230000000000002</v>
      </c>
      <c r="G44" s="203" t="s">
        <v>92</v>
      </c>
      <c r="H44" s="93"/>
      <c r="I44" s="75">
        <f>ROUND(SUM(I37:I43),2)</f>
        <v>728</v>
      </c>
      <c r="J44" s="74"/>
      <c r="K44" s="94">
        <f>ROUND(SUM(K37:K43),2)</f>
        <v>728</v>
      </c>
    </row>
    <row r="45" spans="2:11" s="2" customFormat="1" ht="15" x14ac:dyDescent="0.25">
      <c r="B45" s="3"/>
      <c r="C45" s="5">
        <v>32</v>
      </c>
      <c r="D45" s="28" t="s">
        <v>47</v>
      </c>
      <c r="E45" s="28"/>
      <c r="F45" s="156">
        <f>F44</f>
        <v>0.43230000000000002</v>
      </c>
      <c r="G45" s="203" t="s">
        <v>104</v>
      </c>
      <c r="H45" s="93"/>
      <c r="I45" s="76">
        <f>ROUND(F45*I35,2)</f>
        <v>60.66</v>
      </c>
      <c r="J45" s="74"/>
      <c r="K45" s="95">
        <f>ROUND(F45*K35,2)</f>
        <v>60.66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22</v>
      </c>
      <c r="C47" s="5">
        <v>33</v>
      </c>
      <c r="D47" s="32" t="s">
        <v>23</v>
      </c>
      <c r="E47" s="32"/>
      <c r="F47" s="158"/>
      <c r="G47" s="210" t="s">
        <v>81</v>
      </c>
      <c r="H47" s="134"/>
      <c r="I47" s="135">
        <f>ROUND(I34-I44,2)</f>
        <v>956</v>
      </c>
      <c r="J47" s="136"/>
      <c r="K47" s="140">
        <f>ROUND(K34-K44,2)</f>
        <v>956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45</v>
      </c>
      <c r="E48" s="4"/>
      <c r="F48" s="159"/>
      <c r="G48" s="198" t="s">
        <v>82</v>
      </c>
      <c r="H48" s="91"/>
      <c r="I48" s="21">
        <f>ROUND(I35-I45,2)</f>
        <v>79.67</v>
      </c>
      <c r="J48" s="37"/>
      <c r="K48" s="96">
        <f>ROUND(K35-K45,2)</f>
        <v>79.67</v>
      </c>
    </row>
    <row r="49" spans="2:14" s="2" customFormat="1" ht="18.75" customHeight="1" x14ac:dyDescent="0.25">
      <c r="B49" s="187" t="s">
        <v>24</v>
      </c>
      <c r="C49" s="188">
        <v>35</v>
      </c>
      <c r="D49" s="189" t="s">
        <v>48</v>
      </c>
      <c r="E49" s="190"/>
      <c r="F49" s="191"/>
      <c r="G49" s="212" t="s">
        <v>83</v>
      </c>
      <c r="H49" s="110" t="s">
        <v>95</v>
      </c>
      <c r="I49" s="107">
        <f>ROUND(I22/I48,2)</f>
        <v>100.29</v>
      </c>
      <c r="J49" s="111" t="s">
        <v>95</v>
      </c>
      <c r="K49" s="109">
        <f>ROUND(K22/K48,2)</f>
        <v>121.64</v>
      </c>
    </row>
    <row r="50" spans="2:14" s="2" customFormat="1" ht="6" customHeight="1" x14ac:dyDescent="0.25">
      <c r="B50" s="3"/>
      <c r="C50" s="4"/>
      <c r="D50" s="4"/>
      <c r="E50" s="4"/>
      <c r="F50" s="5"/>
      <c r="G50" s="40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40"/>
      <c r="H51" s="112"/>
      <c r="I51" s="57"/>
      <c r="J51" s="40"/>
      <c r="K51" s="90"/>
    </row>
    <row r="52" spans="2:14" s="83" customFormat="1" ht="16.5" customHeight="1" x14ac:dyDescent="0.25">
      <c r="B52" s="78" t="s">
        <v>49</v>
      </c>
      <c r="C52" s="84"/>
      <c r="D52" s="79"/>
      <c r="E52" s="79"/>
      <c r="F52" s="85"/>
      <c r="G52" s="85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40"/>
      <c r="H53" s="112"/>
      <c r="I53" s="57"/>
      <c r="J53" s="40"/>
      <c r="K53" s="90"/>
    </row>
    <row r="54" spans="2:14" s="2" customFormat="1" ht="15.75" thickBot="1" x14ac:dyDescent="0.3">
      <c r="B54" s="58" t="s">
        <v>26</v>
      </c>
      <c r="C54" s="8"/>
      <c r="D54" s="8" t="s">
        <v>0</v>
      </c>
      <c r="E54" s="7"/>
      <c r="F54" s="59"/>
      <c r="G54" s="60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27</v>
      </c>
      <c r="C55" s="4"/>
      <c r="D55" s="6"/>
      <c r="E55" s="12" t="s">
        <v>94</v>
      </c>
      <c r="F55" s="152" t="s">
        <v>62</v>
      </c>
      <c r="G55" s="41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96</v>
      </c>
      <c r="E56" s="11">
        <v>7.0000000000000007E-2</v>
      </c>
      <c r="F56" s="195">
        <v>7.0000000000000007E-2</v>
      </c>
      <c r="G56" s="11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33</v>
      </c>
      <c r="E57" s="24">
        <v>0.15</v>
      </c>
      <c r="F57" s="196">
        <v>0.15</v>
      </c>
      <c r="G57" s="24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28</v>
      </c>
      <c r="E58" s="24">
        <v>0.05</v>
      </c>
      <c r="F58" s="196">
        <v>0.05</v>
      </c>
      <c r="G58" s="24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29</v>
      </c>
      <c r="E59" s="24">
        <v>0.08</v>
      </c>
      <c r="F59" s="196">
        <v>0.08</v>
      </c>
      <c r="G59" s="24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30</v>
      </c>
      <c r="E60" s="24">
        <v>0.1</v>
      </c>
      <c r="F60" s="196">
        <v>0.1</v>
      </c>
      <c r="G60" s="24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58</v>
      </c>
      <c r="E61" s="24">
        <v>0.05</v>
      </c>
      <c r="F61" s="196">
        <v>0.05</v>
      </c>
      <c r="G61" s="24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31</v>
      </c>
      <c r="E62" s="24">
        <v>0.01</v>
      </c>
      <c r="F62" s="196">
        <v>0.01</v>
      </c>
      <c r="G62" s="24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34</v>
      </c>
      <c r="E63" s="24">
        <v>0.02</v>
      </c>
      <c r="F63" s="196">
        <v>0.02</v>
      </c>
      <c r="G63" s="24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35</v>
      </c>
      <c r="E64" s="24">
        <v>0.02</v>
      </c>
      <c r="F64" s="196">
        <v>0.02</v>
      </c>
      <c r="G64" s="24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36</v>
      </c>
      <c r="E65" s="24">
        <v>0.01</v>
      </c>
      <c r="F65" s="196">
        <v>0.01</v>
      </c>
      <c r="G65" s="24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32</v>
      </c>
      <c r="E66" s="24">
        <v>0.02</v>
      </c>
      <c r="F66" s="196">
        <v>0.02</v>
      </c>
      <c r="G66" s="24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37</v>
      </c>
      <c r="E67" s="24">
        <v>0.02</v>
      </c>
      <c r="F67" s="196">
        <v>0.02</v>
      </c>
      <c r="G67" s="24"/>
      <c r="H67" s="101"/>
      <c r="I67" s="19"/>
      <c r="J67" s="43"/>
      <c r="K67" s="90"/>
    </row>
    <row r="68" spans="2:17" s="2" customFormat="1" x14ac:dyDescent="0.25">
      <c r="B68" s="9" t="s">
        <v>115</v>
      </c>
      <c r="C68" s="4">
        <v>48</v>
      </c>
      <c r="D68" s="28" t="s">
        <v>116</v>
      </c>
      <c r="E68" s="24">
        <v>0.15</v>
      </c>
      <c r="F68" s="196">
        <v>0.15</v>
      </c>
      <c r="G68" s="77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50</v>
      </c>
      <c r="E69" s="54">
        <f>SUM(E56:E68)</f>
        <v>0.75</v>
      </c>
      <c r="F69" s="153">
        <f>SUM(F56:F68)</f>
        <v>0.75</v>
      </c>
      <c r="G69" s="213" t="s">
        <v>84</v>
      </c>
      <c r="H69" s="170" t="s">
        <v>95</v>
      </c>
      <c r="I69" s="56">
        <f>ROUND(F69*I49,2)</f>
        <v>75.22</v>
      </c>
      <c r="J69" s="55"/>
      <c r="K69" s="171">
        <f>ROUND(F69*K49,2)</f>
        <v>91.23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40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38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114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39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51</v>
      </c>
      <c r="E76" s="145">
        <f>SUM(E72:E75)</f>
        <v>0.14000000000000001</v>
      </c>
      <c r="F76" s="155">
        <f>SUM(F72:F75)</f>
        <v>0.14000000000000001</v>
      </c>
      <c r="G76" s="218" t="s">
        <v>85</v>
      </c>
      <c r="H76" s="146" t="s">
        <v>95</v>
      </c>
      <c r="I76" s="147">
        <f>ROUND(F76*I49,2)</f>
        <v>14.04</v>
      </c>
      <c r="J76" s="148"/>
      <c r="K76" s="149">
        <f>ROUND(F76*K49,2)</f>
        <v>17.03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52</v>
      </c>
      <c r="E78" s="145">
        <f>E76+E69</f>
        <v>0.89</v>
      </c>
      <c r="F78" s="155">
        <f>F76+F69</f>
        <v>0.89</v>
      </c>
      <c r="G78" s="218" t="s">
        <v>86</v>
      </c>
      <c r="H78" s="146" t="s">
        <v>95</v>
      </c>
      <c r="I78" s="147">
        <f>ROUND(I49*F78,2)</f>
        <v>89.26</v>
      </c>
      <c r="J78" s="148"/>
      <c r="K78" s="149">
        <f>ROUND(F78*K49,2)</f>
        <v>108.26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100</v>
      </c>
      <c r="C80" s="79"/>
      <c r="D80" s="80"/>
      <c r="E80" s="79"/>
      <c r="F80" s="169"/>
      <c r="G80" s="219" t="s">
        <v>87</v>
      </c>
      <c r="H80" s="102" t="s">
        <v>95</v>
      </c>
      <c r="I80" s="81">
        <f>ROUND(I49+I78,2)</f>
        <v>189.55</v>
      </c>
      <c r="J80" s="82"/>
      <c r="K80" s="103">
        <f>ROUND(K49+K78,2)</f>
        <v>229.9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59</v>
      </c>
      <c r="C82" s="190"/>
      <c r="D82" s="189"/>
      <c r="E82" s="190"/>
      <c r="F82" s="191"/>
      <c r="G82" s="212" t="s">
        <v>89</v>
      </c>
      <c r="H82" s="106" t="s">
        <v>95</v>
      </c>
      <c r="I82" s="107">
        <f>ROUND(I80*I48,2)</f>
        <v>15101.45</v>
      </c>
      <c r="J82" s="108"/>
      <c r="K82" s="109">
        <f>ROUND(K80*K48,2)</f>
        <v>18316.13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5"/>
      <c r="K83" s="90"/>
    </row>
    <row r="84" spans="2:11" s="2" customFormat="1" ht="15.75" thickBot="1" x14ac:dyDescent="0.3">
      <c r="B84" s="25" t="s">
        <v>60</v>
      </c>
      <c r="C84" s="26"/>
      <c r="D84" s="27"/>
      <c r="E84" s="26"/>
      <c r="F84" s="160"/>
      <c r="G84" s="220" t="s">
        <v>88</v>
      </c>
      <c r="H84" s="104" t="s">
        <v>95</v>
      </c>
      <c r="I84" s="97">
        <f>ROUND(I80*I47,2)</f>
        <v>181209.8</v>
      </c>
      <c r="J84" s="105"/>
      <c r="K84" s="98">
        <f>ROUND(K80*K47,2)</f>
        <v>219784.4</v>
      </c>
    </row>
    <row r="86" spans="2:11" ht="3.75" customHeight="1" x14ac:dyDescent="0.2"/>
    <row r="87" spans="2:11" x14ac:dyDescent="0.2">
      <c r="B87" s="221" t="s">
        <v>139</v>
      </c>
      <c r="D87" s="221" t="s">
        <v>140</v>
      </c>
      <c r="E87" s="33" t="s">
        <v>90</v>
      </c>
      <c r="F87" s="73"/>
      <c r="G87" s="33" t="s">
        <v>126</v>
      </c>
    </row>
    <row r="88" spans="2:11" ht="3" customHeight="1" x14ac:dyDescent="0.2">
      <c r="E88" s="33"/>
    </row>
    <row r="89" spans="2:11" ht="36.75" customHeight="1" x14ac:dyDescent="0.2">
      <c r="B89" s="235" t="s">
        <v>135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sheetProtection password="D2DC" sheet="1" objects="1" scenarios="1"/>
  <mergeCells count="5">
    <mergeCell ref="B3:D3"/>
    <mergeCell ref="F3:K3"/>
    <mergeCell ref="B89:K89"/>
    <mergeCell ref="J5:K5"/>
    <mergeCell ref="H5:I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0" orientation="portrait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89"/>
  <sheetViews>
    <sheetView showGridLines="0" view="pageBreakPreview" zoomScaleNormal="115" zoomScaleSheetLayoutView="100" zoomScalePageLayoutView="115" workbookViewId="0">
      <selection activeCell="B1" sqref="B1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117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118</v>
      </c>
      <c r="C3" s="231"/>
      <c r="D3" s="231"/>
      <c r="E3" s="72" t="s">
        <v>127</v>
      </c>
      <c r="F3" s="232" t="s">
        <v>136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137</v>
      </c>
      <c r="I5" s="239"/>
      <c r="J5" s="236" t="s">
        <v>138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65</v>
      </c>
      <c r="G6" s="198" t="s">
        <v>101</v>
      </c>
      <c r="H6" s="87"/>
      <c r="I6" s="67" t="s">
        <v>67</v>
      </c>
      <c r="J6" s="35"/>
      <c r="K6" s="88" t="s">
        <v>66</v>
      </c>
    </row>
    <row r="7" spans="2:11" s="2" customFormat="1" ht="15" x14ac:dyDescent="0.25">
      <c r="B7" s="58" t="s">
        <v>41</v>
      </c>
      <c r="C7" s="5">
        <v>1</v>
      </c>
      <c r="D7" s="4" t="s">
        <v>53</v>
      </c>
      <c r="E7" s="4"/>
      <c r="F7" s="165"/>
      <c r="G7" s="201"/>
      <c r="H7" s="89" t="s">
        <v>95</v>
      </c>
      <c r="I7" s="20">
        <v>4030</v>
      </c>
      <c r="J7" s="36" t="s">
        <v>95</v>
      </c>
      <c r="K7" s="150">
        <v>4888</v>
      </c>
    </row>
    <row r="8" spans="2:11" s="2" customFormat="1" ht="15" x14ac:dyDescent="0.25">
      <c r="B8" s="58" t="s">
        <v>0</v>
      </c>
      <c r="C8" s="5">
        <v>2</v>
      </c>
      <c r="D8" s="172" t="s">
        <v>54</v>
      </c>
      <c r="E8" s="172"/>
      <c r="F8" s="192">
        <v>0.3</v>
      </c>
      <c r="G8" s="200" t="s">
        <v>102</v>
      </c>
      <c r="H8" s="173" t="s">
        <v>95</v>
      </c>
      <c r="I8" s="126">
        <f>ROUND(I7*(1+F8),2)</f>
        <v>5239</v>
      </c>
      <c r="J8" s="174" t="s">
        <v>95</v>
      </c>
      <c r="K8" s="128">
        <f>ROUND(K7*(1+F8),2)</f>
        <v>6354.4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68</v>
      </c>
      <c r="H9" s="89" t="s">
        <v>95</v>
      </c>
      <c r="I9" s="20">
        <f>ROUND(I8/F9,2)</f>
        <v>1209.93</v>
      </c>
      <c r="J9" s="36" t="s">
        <v>95</v>
      </c>
      <c r="K9" s="150">
        <f>ROUND(K8/F9,2)</f>
        <v>1467.53</v>
      </c>
    </row>
    <row r="10" spans="2:11" s="2" customFormat="1" x14ac:dyDescent="0.25">
      <c r="B10" s="3" t="s">
        <v>0</v>
      </c>
      <c r="C10" s="5">
        <v>4</v>
      </c>
      <c r="D10" s="28" t="s">
        <v>97</v>
      </c>
      <c r="E10" s="28"/>
      <c r="F10" s="162">
        <v>40</v>
      </c>
      <c r="G10" s="202" t="s">
        <v>69</v>
      </c>
      <c r="H10" s="93" t="s">
        <v>95</v>
      </c>
      <c r="I10" s="75">
        <f>ROUND(I9/F10,2)</f>
        <v>30.25</v>
      </c>
      <c r="J10" s="74" t="s">
        <v>95</v>
      </c>
      <c r="K10" s="94">
        <f>ROUND(K9/F10,2)</f>
        <v>36.69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70</v>
      </c>
      <c r="H12" s="93" t="s">
        <v>95</v>
      </c>
      <c r="I12" s="75">
        <f>ROUND($I$8*F12,2)</f>
        <v>1143.67</v>
      </c>
      <c r="J12" s="74" t="s">
        <v>95</v>
      </c>
      <c r="K12" s="94">
        <f>ROUND($K$8*F12,2)</f>
        <v>1387.17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71</v>
      </c>
      <c r="H13" s="93" t="s">
        <v>95</v>
      </c>
      <c r="I13" s="75">
        <f>ROUND($I$8*F13,2)</f>
        <v>235.76</v>
      </c>
      <c r="J13" s="74" t="s">
        <v>95</v>
      </c>
      <c r="K13" s="94">
        <f>ROUND($K$8*F13,2)</f>
        <v>285.95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72</v>
      </c>
      <c r="H14" s="93" t="s">
        <v>95</v>
      </c>
      <c r="I14" s="75">
        <f>ROUND($I$8*F14,2)</f>
        <v>157.16999999999999</v>
      </c>
      <c r="J14" s="74" t="s">
        <v>95</v>
      </c>
      <c r="K14" s="94">
        <f>ROUND($K$8*F14,2)</f>
        <v>190.63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73</v>
      </c>
      <c r="H15" s="93" t="s">
        <v>95</v>
      </c>
      <c r="I15" s="75">
        <f>ROUND($I$8*F15,2)</f>
        <v>80.16</v>
      </c>
      <c r="J15" s="74" t="s">
        <v>95</v>
      </c>
      <c r="K15" s="94">
        <f>ROUND($K$8*F15,2)</f>
        <v>97.22</v>
      </c>
    </row>
    <row r="16" spans="2:11" s="2" customFormat="1" x14ac:dyDescent="0.25">
      <c r="B16" s="3"/>
      <c r="C16" s="5">
        <v>10</v>
      </c>
      <c r="D16" s="31" t="s">
        <v>91</v>
      </c>
      <c r="E16" s="31"/>
      <c r="F16" s="176">
        <f>SUM(F12:F15)</f>
        <v>0.30859999999999999</v>
      </c>
      <c r="G16" s="204" t="s">
        <v>74</v>
      </c>
      <c r="H16" s="125" t="s">
        <v>95</v>
      </c>
      <c r="I16" s="132">
        <f>ROUND($I$8*F16,2)</f>
        <v>1616.76</v>
      </c>
      <c r="J16" s="127" t="s">
        <v>95</v>
      </c>
      <c r="K16" s="133">
        <f>ROUND($K$8*F16,2)</f>
        <v>1960.97</v>
      </c>
    </row>
    <row r="17" spans="2:11" s="2" customFormat="1" x14ac:dyDescent="0.25">
      <c r="B17" s="175" t="s">
        <v>55</v>
      </c>
      <c r="C17" s="18"/>
      <c r="D17" s="177" t="s">
        <v>93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56</v>
      </c>
      <c r="C18" s="5">
        <v>11</v>
      </c>
      <c r="D18" s="28" t="s">
        <v>91</v>
      </c>
      <c r="E18" s="28"/>
      <c r="F18" s="166">
        <f>F16-0.94%</f>
        <v>0.29920000000000002</v>
      </c>
      <c r="G18" s="203" t="s">
        <v>75</v>
      </c>
      <c r="H18" s="93" t="s">
        <v>95</v>
      </c>
      <c r="I18" s="75">
        <f>ROUND($I$8*F18,2)</f>
        <v>1567.51</v>
      </c>
      <c r="J18" s="74" t="s">
        <v>95</v>
      </c>
      <c r="K18" s="94">
        <f>ROUND($K$8*F18,2)</f>
        <v>1901.24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57</v>
      </c>
      <c r="E20" s="50"/>
      <c r="F20" s="168"/>
      <c r="G20" s="207" t="s">
        <v>76</v>
      </c>
      <c r="H20" s="121" t="s">
        <v>95</v>
      </c>
      <c r="I20" s="52">
        <f>ROUND((I8+I18)*2,2)</f>
        <v>13613.02</v>
      </c>
      <c r="J20" s="51" t="s">
        <v>95</v>
      </c>
      <c r="K20" s="122">
        <f>ROUND((K8+K18)*2,2)</f>
        <v>16511.28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98</v>
      </c>
      <c r="E22" s="64"/>
      <c r="F22" s="161"/>
      <c r="G22" s="209" t="s">
        <v>105</v>
      </c>
      <c r="H22" s="123"/>
      <c r="I22" s="66">
        <f>ROUND(((I8+I16)*12+I20)/12,2)</f>
        <v>7990.18</v>
      </c>
      <c r="J22" s="65"/>
      <c r="K22" s="124">
        <f>ROUND(((K8+K16)*12+K20)/12,2)</f>
        <v>9691.31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77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3">
        <v>13</v>
      </c>
      <c r="G26" s="202"/>
      <c r="H26" s="93"/>
      <c r="I26" s="75">
        <f>F26</f>
        <v>13</v>
      </c>
      <c r="J26" s="74"/>
      <c r="K26" s="94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3"/>
      <c r="G27" s="202" t="s">
        <v>103</v>
      </c>
      <c r="H27" s="93"/>
      <c r="I27" s="76">
        <f>ROUND(I24-I25-I26,2)</f>
        <v>248</v>
      </c>
      <c r="J27" s="74"/>
      <c r="K27" s="95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132</v>
      </c>
      <c r="D29" s="28" t="s">
        <v>134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131</v>
      </c>
      <c r="D30" s="28" t="s">
        <v>133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14</v>
      </c>
      <c r="E31" s="29"/>
      <c r="F31" s="163"/>
      <c r="G31" s="202" t="s">
        <v>78</v>
      </c>
      <c r="H31" s="93"/>
      <c r="I31" s="76">
        <f>ROUND(I27-I28-I29-I30,2)</f>
        <v>210.5</v>
      </c>
      <c r="J31" s="74"/>
      <c r="K31" s="95">
        <f>ROUND(K27-K28-K29-K30,2)</f>
        <v>210.5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15</v>
      </c>
      <c r="C33" s="5">
        <v>21</v>
      </c>
      <c r="D33" s="32" t="s">
        <v>16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43</v>
      </c>
      <c r="E34" s="28"/>
      <c r="F34" s="162"/>
      <c r="G34" s="202" t="s">
        <v>79</v>
      </c>
      <c r="H34" s="93"/>
      <c r="I34" s="75">
        <f>ROUND(I31*I33,2)</f>
        <v>1684</v>
      </c>
      <c r="J34" s="74"/>
      <c r="K34" s="94">
        <f>ROUND(K31*K33,2)</f>
        <v>1684</v>
      </c>
    </row>
    <row r="35" spans="2:11" s="2" customFormat="1" ht="15.75" thickBot="1" x14ac:dyDescent="0.3">
      <c r="B35" s="3"/>
      <c r="C35" s="5">
        <v>23</v>
      </c>
      <c r="D35" s="28" t="s">
        <v>44</v>
      </c>
      <c r="E35" s="31"/>
      <c r="F35" s="157"/>
      <c r="G35" s="204" t="s">
        <v>80</v>
      </c>
      <c r="H35" s="125"/>
      <c r="I35" s="126">
        <f>ROUND(I34/12,2)</f>
        <v>140.33000000000001</v>
      </c>
      <c r="J35" s="127"/>
      <c r="K35" s="128">
        <f>ROUND(K31/K24*30.4167*8,2)</f>
        <v>140.33000000000001</v>
      </c>
    </row>
    <row r="36" spans="2:11" s="2" customFormat="1" ht="12.75" customHeight="1" thickBot="1" x14ac:dyDescent="0.3">
      <c r="B36" s="3"/>
      <c r="C36" s="5"/>
      <c r="D36" s="31"/>
      <c r="E36" s="12" t="s">
        <v>94</v>
      </c>
      <c r="F36" s="152" t="s">
        <v>63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17</v>
      </c>
      <c r="C37" s="5">
        <v>24</v>
      </c>
      <c r="D37" s="32" t="s">
        <v>64</v>
      </c>
      <c r="E37" s="131">
        <v>20</v>
      </c>
      <c r="F37" s="194">
        <v>12</v>
      </c>
      <c r="G37" s="203" t="s">
        <v>106</v>
      </c>
      <c r="H37" s="93"/>
      <c r="I37" s="75">
        <f t="shared" ref="I37:I42" si="0">ROUND(F37*$I$33,2)</f>
        <v>96</v>
      </c>
      <c r="J37" s="74"/>
      <c r="K37" s="94">
        <f t="shared" ref="K37:K42" si="1">ROUND(F37*$K$33,2)</f>
        <v>96</v>
      </c>
    </row>
    <row r="38" spans="2:11" s="2" customFormat="1" x14ac:dyDescent="0.25">
      <c r="B38" s="17" t="s">
        <v>42</v>
      </c>
      <c r="C38" s="5">
        <v>25</v>
      </c>
      <c r="D38" s="28" t="s">
        <v>18</v>
      </c>
      <c r="E38" s="30">
        <v>2</v>
      </c>
      <c r="F38" s="193">
        <v>2</v>
      </c>
      <c r="G38" s="203" t="s">
        <v>107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19</v>
      </c>
      <c r="E39" s="30">
        <v>4</v>
      </c>
      <c r="F39" s="193">
        <v>2</v>
      </c>
      <c r="G39" s="203" t="s">
        <v>108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20</v>
      </c>
      <c r="E40" s="30">
        <v>20</v>
      </c>
      <c r="F40" s="193">
        <v>12</v>
      </c>
      <c r="G40" s="203" t="s">
        <v>109</v>
      </c>
      <c r="H40" s="93"/>
      <c r="I40" s="75">
        <f t="shared" si="0"/>
        <v>96</v>
      </c>
      <c r="J40" s="74"/>
      <c r="K40" s="94">
        <f t="shared" si="1"/>
        <v>96</v>
      </c>
    </row>
    <row r="41" spans="2:11" s="2" customFormat="1" x14ac:dyDescent="0.25">
      <c r="B41" s="3"/>
      <c r="C41" s="5">
        <v>28</v>
      </c>
      <c r="D41" s="28" t="s">
        <v>113</v>
      </c>
      <c r="E41" s="30">
        <v>5</v>
      </c>
      <c r="F41" s="193">
        <v>3</v>
      </c>
      <c r="G41" s="203" t="s">
        <v>110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21</v>
      </c>
      <c r="E42" s="30">
        <v>10</v>
      </c>
      <c r="F42" s="193">
        <v>5</v>
      </c>
      <c r="G42" s="203" t="s">
        <v>111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25</v>
      </c>
      <c r="E43" s="30">
        <v>30</v>
      </c>
      <c r="F43" s="193">
        <v>20</v>
      </c>
      <c r="G43" s="203" t="s">
        <v>112</v>
      </c>
      <c r="H43" s="93"/>
      <c r="I43" s="75">
        <f>ROUND(F43*$I$33,2)</f>
        <v>160</v>
      </c>
      <c r="J43" s="74"/>
      <c r="K43" s="75">
        <f>ROUND(F43*$K$33,2)</f>
        <v>160</v>
      </c>
    </row>
    <row r="44" spans="2:11" s="2" customFormat="1" ht="15" x14ac:dyDescent="0.25">
      <c r="B44" s="3"/>
      <c r="C44" s="5">
        <v>31</v>
      </c>
      <c r="D44" s="28" t="s">
        <v>46</v>
      </c>
      <c r="E44" s="28"/>
      <c r="F44" s="156">
        <f>I44/I34</f>
        <v>0.26600000000000001</v>
      </c>
      <c r="G44" s="203" t="s">
        <v>92</v>
      </c>
      <c r="H44" s="93"/>
      <c r="I44" s="75">
        <f>ROUND(SUM(I37:I43),2)</f>
        <v>448</v>
      </c>
      <c r="J44" s="74"/>
      <c r="K44" s="94">
        <f>ROUND(SUM(K37:K43),2)</f>
        <v>448</v>
      </c>
    </row>
    <row r="45" spans="2:11" s="2" customFormat="1" ht="15" x14ac:dyDescent="0.25">
      <c r="B45" s="3"/>
      <c r="C45" s="5">
        <v>32</v>
      </c>
      <c r="D45" s="28" t="s">
        <v>47</v>
      </c>
      <c r="E45" s="28"/>
      <c r="F45" s="156">
        <f>F44</f>
        <v>0.26600000000000001</v>
      </c>
      <c r="G45" s="203" t="s">
        <v>104</v>
      </c>
      <c r="H45" s="93"/>
      <c r="I45" s="76">
        <f>ROUND(F45*I35,2)</f>
        <v>37.33</v>
      </c>
      <c r="J45" s="74"/>
      <c r="K45" s="95">
        <f>ROUND(F45*K35,2)</f>
        <v>37.33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22</v>
      </c>
      <c r="C47" s="5">
        <v>33</v>
      </c>
      <c r="D47" s="32" t="s">
        <v>23</v>
      </c>
      <c r="E47" s="32"/>
      <c r="F47" s="158"/>
      <c r="G47" s="210" t="s">
        <v>81</v>
      </c>
      <c r="H47" s="134"/>
      <c r="I47" s="135">
        <f>ROUND(I34-I44,2)</f>
        <v>1236</v>
      </c>
      <c r="J47" s="136"/>
      <c r="K47" s="140">
        <f>ROUND(K34-K44,2)</f>
        <v>1236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45</v>
      </c>
      <c r="E48" s="4"/>
      <c r="F48" s="159"/>
      <c r="G48" s="198" t="s">
        <v>82</v>
      </c>
      <c r="H48" s="91"/>
      <c r="I48" s="21">
        <f>ROUND(I35-I45,2)</f>
        <v>103</v>
      </c>
      <c r="J48" s="37"/>
      <c r="K48" s="96">
        <f>ROUND(K35-K45,2)</f>
        <v>103</v>
      </c>
    </row>
    <row r="49" spans="2:14" s="2" customFormat="1" ht="18.75" customHeight="1" x14ac:dyDescent="0.25">
      <c r="B49" s="187" t="s">
        <v>24</v>
      </c>
      <c r="C49" s="188">
        <v>35</v>
      </c>
      <c r="D49" s="189" t="s">
        <v>48</v>
      </c>
      <c r="E49" s="190"/>
      <c r="F49" s="191"/>
      <c r="G49" s="212" t="s">
        <v>83</v>
      </c>
      <c r="H49" s="110" t="s">
        <v>95</v>
      </c>
      <c r="I49" s="107">
        <f>ROUND(I22/I48,2)</f>
        <v>77.569999999999993</v>
      </c>
      <c r="J49" s="111" t="s">
        <v>95</v>
      </c>
      <c r="K49" s="109">
        <f>ROUND(K22/K48,2)</f>
        <v>94.09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49</v>
      </c>
      <c r="C52" s="84"/>
      <c r="D52" s="79"/>
      <c r="E52" s="79"/>
      <c r="F52" s="85"/>
      <c r="G52" s="222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26</v>
      </c>
      <c r="C54" s="8"/>
      <c r="D54" s="8" t="s">
        <v>0</v>
      </c>
      <c r="E54" s="7"/>
      <c r="F54" s="59"/>
      <c r="G54" s="223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27</v>
      </c>
      <c r="C55" s="4"/>
      <c r="D55" s="6"/>
      <c r="E55" s="12" t="s">
        <v>94</v>
      </c>
      <c r="F55" s="152" t="s">
        <v>62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96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33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28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29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30</v>
      </c>
      <c r="E60" s="24">
        <v>0.1</v>
      </c>
      <c r="F60" s="196">
        <v>0.1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58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31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34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35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36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32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37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115</v>
      </c>
      <c r="C68" s="4">
        <v>48</v>
      </c>
      <c r="D68" s="28" t="s">
        <v>116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50</v>
      </c>
      <c r="E69" s="54">
        <f>SUM(E56:E68)</f>
        <v>0.75</v>
      </c>
      <c r="F69" s="153">
        <f>SUM(F56:F68)</f>
        <v>0.75</v>
      </c>
      <c r="G69" s="213" t="s">
        <v>84</v>
      </c>
      <c r="H69" s="170" t="s">
        <v>95</v>
      </c>
      <c r="I69" s="56">
        <f>ROUND(F69*I49,2)</f>
        <v>58.18</v>
      </c>
      <c r="J69" s="55"/>
      <c r="K69" s="171">
        <f>ROUND(F69*K49,2)</f>
        <v>70.569999999999993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40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38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114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39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51</v>
      </c>
      <c r="E76" s="145">
        <f>SUM(E72:E75)</f>
        <v>0.14000000000000001</v>
      </c>
      <c r="F76" s="155">
        <f>SUM(F72:F75)</f>
        <v>0.14000000000000001</v>
      </c>
      <c r="G76" s="218" t="s">
        <v>85</v>
      </c>
      <c r="H76" s="146" t="s">
        <v>95</v>
      </c>
      <c r="I76" s="147">
        <f>ROUND(F76*I49,2)</f>
        <v>10.86</v>
      </c>
      <c r="J76" s="148"/>
      <c r="K76" s="149">
        <f>ROUND(F76*K49,2)</f>
        <v>13.17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52</v>
      </c>
      <c r="E78" s="145">
        <f>E76+E69</f>
        <v>0.89</v>
      </c>
      <c r="F78" s="155">
        <f>F76+F69</f>
        <v>0.89</v>
      </c>
      <c r="G78" s="218" t="s">
        <v>86</v>
      </c>
      <c r="H78" s="146" t="s">
        <v>95</v>
      </c>
      <c r="I78" s="147">
        <f>ROUND(F78*I49,2)</f>
        <v>69.040000000000006</v>
      </c>
      <c r="J78" s="148"/>
      <c r="K78" s="149">
        <f>ROUND(F78*K49,2)</f>
        <v>83.74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100</v>
      </c>
      <c r="C80" s="79"/>
      <c r="D80" s="80"/>
      <c r="E80" s="79"/>
      <c r="F80" s="169"/>
      <c r="G80" s="219" t="s">
        <v>87</v>
      </c>
      <c r="H80" s="102" t="s">
        <v>95</v>
      </c>
      <c r="I80" s="81">
        <f>ROUND(I49+I78,2)</f>
        <v>146.61000000000001</v>
      </c>
      <c r="J80" s="82"/>
      <c r="K80" s="103">
        <f>ROUND(K49+K78,2)</f>
        <v>177.83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59</v>
      </c>
      <c r="C82" s="190"/>
      <c r="D82" s="189"/>
      <c r="E82" s="190"/>
      <c r="F82" s="191"/>
      <c r="G82" s="212" t="s">
        <v>89</v>
      </c>
      <c r="H82" s="106" t="s">
        <v>95</v>
      </c>
      <c r="I82" s="107">
        <f>ROUND(I80*I48,2)</f>
        <v>15100.83</v>
      </c>
      <c r="J82" s="224"/>
      <c r="K82" s="109">
        <f>ROUND(K80*K48,2)</f>
        <v>18316.490000000002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60</v>
      </c>
      <c r="C84" s="26"/>
      <c r="D84" s="27"/>
      <c r="E84" s="26"/>
      <c r="F84" s="160"/>
      <c r="G84" s="220" t="s">
        <v>88</v>
      </c>
      <c r="H84" s="104" t="s">
        <v>95</v>
      </c>
      <c r="I84" s="97">
        <f>ROUND(I80*I47,2)</f>
        <v>181209.96</v>
      </c>
      <c r="J84" s="226"/>
      <c r="K84" s="98">
        <f>ROUND(K80*K47,2)</f>
        <v>219797.88</v>
      </c>
    </row>
    <row r="85" spans="2:11" x14ac:dyDescent="0.2">
      <c r="B85" s="229"/>
    </row>
    <row r="86" spans="2:11" ht="3.75" customHeight="1" x14ac:dyDescent="0.2"/>
    <row r="87" spans="2:11" x14ac:dyDescent="0.2">
      <c r="B87" s="221" t="s">
        <v>139</v>
      </c>
      <c r="D87" s="221" t="s">
        <v>140</v>
      </c>
      <c r="E87" s="33" t="s">
        <v>90</v>
      </c>
      <c r="F87" s="73"/>
      <c r="G87" s="33" t="s">
        <v>126</v>
      </c>
    </row>
    <row r="88" spans="2:11" ht="3" customHeight="1" x14ac:dyDescent="0.2">
      <c r="E88" s="33"/>
    </row>
    <row r="89" spans="2:11" ht="36.75" customHeight="1" x14ac:dyDescent="0.2">
      <c r="B89" s="235" t="s">
        <v>135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sheetProtection password="D2DC" sheet="1" objects="1" scenarios="1"/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0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Q89"/>
  <sheetViews>
    <sheetView showGridLines="0" view="pageBreakPreview" zoomScaleNormal="85" zoomScaleSheetLayoutView="100" zoomScalePageLayoutView="70" workbookViewId="0">
      <selection activeCell="B1" sqref="B1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121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122</v>
      </c>
      <c r="C3" s="231"/>
      <c r="D3" s="231"/>
      <c r="E3" s="72" t="s">
        <v>128</v>
      </c>
      <c r="F3" s="232" t="s">
        <v>141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145</v>
      </c>
      <c r="I5" s="239"/>
      <c r="J5" s="236" t="s">
        <v>146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65</v>
      </c>
      <c r="G6" s="198" t="s">
        <v>101</v>
      </c>
      <c r="H6" s="87"/>
      <c r="I6" s="67" t="s">
        <v>67</v>
      </c>
      <c r="J6" s="35"/>
      <c r="K6" s="88" t="s">
        <v>66</v>
      </c>
    </row>
    <row r="7" spans="2:11" s="2" customFormat="1" ht="15" x14ac:dyDescent="0.25">
      <c r="B7" s="58" t="s">
        <v>41</v>
      </c>
      <c r="C7" s="5">
        <v>1</v>
      </c>
      <c r="D7" s="4" t="s">
        <v>53</v>
      </c>
      <c r="E7" s="4"/>
      <c r="F7" s="165"/>
      <c r="G7" s="201"/>
      <c r="H7" s="89" t="s">
        <v>95</v>
      </c>
      <c r="I7" s="20">
        <v>3375</v>
      </c>
      <c r="J7" s="36" t="s">
        <v>95</v>
      </c>
      <c r="K7" s="150">
        <v>4018</v>
      </c>
    </row>
    <row r="8" spans="2:11" s="2" customFormat="1" ht="15" x14ac:dyDescent="0.25">
      <c r="B8" s="58" t="s">
        <v>0</v>
      </c>
      <c r="C8" s="5">
        <v>2</v>
      </c>
      <c r="D8" s="172" t="s">
        <v>54</v>
      </c>
      <c r="E8" s="172"/>
      <c r="F8" s="192">
        <v>0.3</v>
      </c>
      <c r="G8" s="200" t="s">
        <v>102</v>
      </c>
      <c r="H8" s="173" t="s">
        <v>95</v>
      </c>
      <c r="I8" s="126">
        <f>ROUND(I7*(1+F8),2)</f>
        <v>4387.5</v>
      </c>
      <c r="J8" s="174" t="s">
        <v>95</v>
      </c>
      <c r="K8" s="128">
        <f>ROUND(K7*(1+F8),)</f>
        <v>5223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68</v>
      </c>
      <c r="H9" s="89" t="s">
        <v>95</v>
      </c>
      <c r="I9" s="20">
        <f>ROUND(I8/F9,2)</f>
        <v>1013.28</v>
      </c>
      <c r="J9" s="36" t="s">
        <v>95</v>
      </c>
      <c r="K9" s="150">
        <f>ROUND(K8/F9,2)</f>
        <v>1206.24</v>
      </c>
    </row>
    <row r="10" spans="2:11" s="2" customFormat="1" x14ac:dyDescent="0.25">
      <c r="B10" s="3" t="s">
        <v>0</v>
      </c>
      <c r="C10" s="5">
        <v>4</v>
      </c>
      <c r="D10" s="28" t="s">
        <v>97</v>
      </c>
      <c r="E10" s="28"/>
      <c r="F10" s="162">
        <v>40</v>
      </c>
      <c r="G10" s="202" t="s">
        <v>69</v>
      </c>
      <c r="H10" s="93" t="s">
        <v>95</v>
      </c>
      <c r="I10" s="75">
        <f>ROUND(I9/F10,2)</f>
        <v>25.33</v>
      </c>
      <c r="J10" s="74" t="s">
        <v>95</v>
      </c>
      <c r="K10" s="94">
        <f>ROUND(K9/F10,2)</f>
        <v>30.16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70</v>
      </c>
      <c r="H12" s="93" t="s">
        <v>95</v>
      </c>
      <c r="I12" s="75">
        <f>ROUND($I$8*F12,2)</f>
        <v>957.79</v>
      </c>
      <c r="J12" s="74" t="s">
        <v>95</v>
      </c>
      <c r="K12" s="94">
        <f>ROUND($K$8*F12,2)</f>
        <v>1140.18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71</v>
      </c>
      <c r="H13" s="93" t="s">
        <v>95</v>
      </c>
      <c r="I13" s="75">
        <f>ROUND($I$8*F13,2)</f>
        <v>197.44</v>
      </c>
      <c r="J13" s="74" t="s">
        <v>95</v>
      </c>
      <c r="K13" s="94">
        <f>ROUND($K$8*F13,2)</f>
        <v>235.04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72</v>
      </c>
      <c r="H14" s="93" t="s">
        <v>95</v>
      </c>
      <c r="I14" s="75">
        <f>ROUND($I$8*F14,2)</f>
        <v>131.63</v>
      </c>
      <c r="J14" s="74" t="s">
        <v>95</v>
      </c>
      <c r="K14" s="94">
        <f>ROUND($K$8*F14,2)</f>
        <v>156.69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73</v>
      </c>
      <c r="H15" s="93" t="s">
        <v>95</v>
      </c>
      <c r="I15" s="75">
        <f>ROUND($I$8*F15,2)</f>
        <v>67.13</v>
      </c>
      <c r="J15" s="74" t="s">
        <v>95</v>
      </c>
      <c r="K15" s="94">
        <f>ROUND($K$8*F15,2)</f>
        <v>79.91</v>
      </c>
    </row>
    <row r="16" spans="2:11" s="2" customFormat="1" x14ac:dyDescent="0.25">
      <c r="B16" s="3"/>
      <c r="C16" s="5">
        <v>10</v>
      </c>
      <c r="D16" s="31" t="s">
        <v>91</v>
      </c>
      <c r="E16" s="31"/>
      <c r="F16" s="176">
        <f>SUM(F12:F15)</f>
        <v>0.30859999999999999</v>
      </c>
      <c r="G16" s="204" t="s">
        <v>74</v>
      </c>
      <c r="H16" s="125" t="s">
        <v>95</v>
      </c>
      <c r="I16" s="132">
        <f>ROUND($I$8*F16,2)</f>
        <v>1353.98</v>
      </c>
      <c r="J16" s="127" t="s">
        <v>95</v>
      </c>
      <c r="K16" s="133">
        <f>ROUND($K$8*F16,2)</f>
        <v>1611.82</v>
      </c>
    </row>
    <row r="17" spans="2:11" s="2" customFormat="1" x14ac:dyDescent="0.25">
      <c r="B17" s="175" t="s">
        <v>55</v>
      </c>
      <c r="C17" s="18"/>
      <c r="D17" s="177" t="s">
        <v>93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56</v>
      </c>
      <c r="C18" s="5">
        <v>11</v>
      </c>
      <c r="D18" s="28" t="s">
        <v>91</v>
      </c>
      <c r="E18" s="28"/>
      <c r="F18" s="166">
        <f>F16-0.94%</f>
        <v>0.29920000000000002</v>
      </c>
      <c r="G18" s="203" t="s">
        <v>75</v>
      </c>
      <c r="H18" s="93" t="s">
        <v>95</v>
      </c>
      <c r="I18" s="75">
        <f>ROUND($I$8*F18,2)</f>
        <v>1312.74</v>
      </c>
      <c r="J18" s="74" t="s">
        <v>95</v>
      </c>
      <c r="K18" s="94">
        <f>ROUND($K$8*F18,2)</f>
        <v>1562.72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57</v>
      </c>
      <c r="E20" s="50"/>
      <c r="F20" s="168"/>
      <c r="G20" s="207" t="s">
        <v>76</v>
      </c>
      <c r="H20" s="121" t="s">
        <v>95</v>
      </c>
      <c r="I20" s="52">
        <f>ROUND((I8+I18)*2,2)</f>
        <v>11400.48</v>
      </c>
      <c r="J20" s="51" t="s">
        <v>95</v>
      </c>
      <c r="K20" s="122">
        <f>ROUND((K8+K18)*2,2)</f>
        <v>13571.44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98</v>
      </c>
      <c r="E22" s="64"/>
      <c r="F22" s="161"/>
      <c r="G22" s="209" t="s">
        <v>105</v>
      </c>
      <c r="H22" s="123"/>
      <c r="I22" s="66">
        <f>ROUND(((I8+I16)*12+I20)/12,2)</f>
        <v>6691.52</v>
      </c>
      <c r="J22" s="65"/>
      <c r="K22" s="124">
        <f>ROUND(((K8+K16)*12+K20)/12,2)</f>
        <v>7965.77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77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3">
        <v>13</v>
      </c>
      <c r="G26" s="202"/>
      <c r="H26" s="93"/>
      <c r="I26" s="75">
        <f>F26</f>
        <v>13</v>
      </c>
      <c r="J26" s="74"/>
      <c r="K26" s="94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3"/>
      <c r="G27" s="202" t="s">
        <v>103</v>
      </c>
      <c r="H27" s="93"/>
      <c r="I27" s="76">
        <f>ROUND(I24-I25-I26,2)</f>
        <v>248</v>
      </c>
      <c r="J27" s="74"/>
      <c r="K27" s="95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132</v>
      </c>
      <c r="D29" s="28" t="s">
        <v>134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131</v>
      </c>
      <c r="D30" s="28" t="s">
        <v>133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14</v>
      </c>
      <c r="E31" s="29"/>
      <c r="F31" s="163"/>
      <c r="G31" s="202" t="s">
        <v>78</v>
      </c>
      <c r="H31" s="93"/>
      <c r="I31" s="76">
        <f>ROUND(I27-I28-I29-I30,2)</f>
        <v>210.5</v>
      </c>
      <c r="J31" s="74"/>
      <c r="K31" s="95">
        <f>ROUND(K27-K28-K29-K30,2)</f>
        <v>210.5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15</v>
      </c>
      <c r="C33" s="5">
        <v>21</v>
      </c>
      <c r="D33" s="32" t="s">
        <v>16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43</v>
      </c>
      <c r="E34" s="28"/>
      <c r="F34" s="162"/>
      <c r="G34" s="202" t="s">
        <v>79</v>
      </c>
      <c r="H34" s="93"/>
      <c r="I34" s="75">
        <f>ROUND(I31*I33,2)</f>
        <v>1684</v>
      </c>
      <c r="J34" s="74"/>
      <c r="K34" s="94">
        <f>ROUND(K31*K33,2)</f>
        <v>1684</v>
      </c>
    </row>
    <row r="35" spans="2:11" s="2" customFormat="1" ht="15.75" thickBot="1" x14ac:dyDescent="0.3">
      <c r="B35" s="3"/>
      <c r="C35" s="5">
        <v>23</v>
      </c>
      <c r="D35" s="28" t="s">
        <v>44</v>
      </c>
      <c r="E35" s="31"/>
      <c r="F35" s="157"/>
      <c r="G35" s="204" t="s">
        <v>80</v>
      </c>
      <c r="H35" s="125"/>
      <c r="I35" s="126">
        <f>ROUND(I34/12,2)</f>
        <v>140.33000000000001</v>
      </c>
      <c r="J35" s="127"/>
      <c r="K35" s="128">
        <f>ROUND(K31/K24*30.4167*8,2)</f>
        <v>140.33000000000001</v>
      </c>
    </row>
    <row r="36" spans="2:11" s="2" customFormat="1" ht="12.75" customHeight="1" thickBot="1" x14ac:dyDescent="0.3">
      <c r="B36" s="3"/>
      <c r="C36" s="5"/>
      <c r="D36" s="31"/>
      <c r="E36" s="12" t="s">
        <v>94</v>
      </c>
      <c r="F36" s="152" t="s">
        <v>63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17</v>
      </c>
      <c r="C37" s="5">
        <v>24</v>
      </c>
      <c r="D37" s="32" t="s">
        <v>64</v>
      </c>
      <c r="E37" s="131">
        <v>12</v>
      </c>
      <c r="F37" s="194">
        <v>12</v>
      </c>
      <c r="G37" s="203" t="s">
        <v>106</v>
      </c>
      <c r="H37" s="93"/>
      <c r="I37" s="75">
        <f t="shared" ref="I37:I43" si="0">ROUND(F37*$I$33,2)</f>
        <v>96</v>
      </c>
      <c r="J37" s="74"/>
      <c r="K37" s="94">
        <f t="shared" ref="K37:K43" si="1">ROUND(F37*$K$33,2)</f>
        <v>96</v>
      </c>
    </row>
    <row r="38" spans="2:11" s="2" customFormat="1" x14ac:dyDescent="0.25">
      <c r="B38" s="17" t="s">
        <v>42</v>
      </c>
      <c r="C38" s="5">
        <v>25</v>
      </c>
      <c r="D38" s="28" t="s">
        <v>18</v>
      </c>
      <c r="E38" s="30">
        <v>2</v>
      </c>
      <c r="F38" s="193">
        <v>2</v>
      </c>
      <c r="G38" s="203" t="s">
        <v>107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19</v>
      </c>
      <c r="E39" s="30">
        <v>2</v>
      </c>
      <c r="F39" s="193">
        <v>2</v>
      </c>
      <c r="G39" s="203" t="s">
        <v>108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20</v>
      </c>
      <c r="E40" s="30">
        <v>12</v>
      </c>
      <c r="F40" s="193">
        <v>12</v>
      </c>
      <c r="G40" s="203" t="s">
        <v>109</v>
      </c>
      <c r="H40" s="93"/>
      <c r="I40" s="75">
        <f>ROUND(F40*$I$33,2)</f>
        <v>96</v>
      </c>
      <c r="J40" s="74"/>
      <c r="K40" s="94">
        <f t="shared" si="1"/>
        <v>96</v>
      </c>
    </row>
    <row r="41" spans="2:11" s="2" customFormat="1" x14ac:dyDescent="0.25">
      <c r="B41" s="3"/>
      <c r="C41" s="5">
        <v>28</v>
      </c>
      <c r="D41" s="28" t="s">
        <v>113</v>
      </c>
      <c r="E41" s="30">
        <v>3</v>
      </c>
      <c r="F41" s="193">
        <v>3</v>
      </c>
      <c r="G41" s="203" t="s">
        <v>110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21</v>
      </c>
      <c r="E42" s="30">
        <v>5</v>
      </c>
      <c r="F42" s="193">
        <v>5</v>
      </c>
      <c r="G42" s="203" t="s">
        <v>111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25</v>
      </c>
      <c r="E43" s="30">
        <v>20</v>
      </c>
      <c r="F43" s="193">
        <v>20</v>
      </c>
      <c r="G43" s="203" t="s">
        <v>112</v>
      </c>
      <c r="H43" s="93"/>
      <c r="I43" s="75">
        <f t="shared" si="0"/>
        <v>160</v>
      </c>
      <c r="J43" s="74"/>
      <c r="K43" s="94">
        <f t="shared" si="1"/>
        <v>160</v>
      </c>
    </row>
    <row r="44" spans="2:11" s="2" customFormat="1" ht="15" x14ac:dyDescent="0.25">
      <c r="B44" s="3"/>
      <c r="C44" s="5">
        <v>31</v>
      </c>
      <c r="D44" s="28" t="s">
        <v>46</v>
      </c>
      <c r="E44" s="28"/>
      <c r="F44" s="156">
        <f>I44/I34</f>
        <v>0.26600000000000001</v>
      </c>
      <c r="G44" s="203" t="s">
        <v>92</v>
      </c>
      <c r="H44" s="93"/>
      <c r="I44" s="75">
        <f>ROUND(SUM(I37:I43),2)</f>
        <v>448</v>
      </c>
      <c r="J44" s="74"/>
      <c r="K44" s="94">
        <f>ROUND(SUM(K37:K43),3)</f>
        <v>448</v>
      </c>
    </row>
    <row r="45" spans="2:11" s="2" customFormat="1" ht="15" x14ac:dyDescent="0.25">
      <c r="B45" s="3"/>
      <c r="C45" s="5">
        <v>32</v>
      </c>
      <c r="D45" s="28" t="s">
        <v>47</v>
      </c>
      <c r="E45" s="28"/>
      <c r="F45" s="156">
        <f>F44</f>
        <v>0.26600000000000001</v>
      </c>
      <c r="G45" s="203" t="s">
        <v>104</v>
      </c>
      <c r="H45" s="93"/>
      <c r="I45" s="76">
        <f>ROUND(F45*I35,2)</f>
        <v>37.33</v>
      </c>
      <c r="J45" s="74"/>
      <c r="K45" s="95">
        <f>ROUND(F45*K35,2)</f>
        <v>37.33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22</v>
      </c>
      <c r="C47" s="5">
        <v>33</v>
      </c>
      <c r="D47" s="32" t="s">
        <v>23</v>
      </c>
      <c r="E47" s="32"/>
      <c r="F47" s="158"/>
      <c r="G47" s="210" t="s">
        <v>81</v>
      </c>
      <c r="H47" s="134"/>
      <c r="I47" s="135">
        <f>ROUND(I34-I44,2)</f>
        <v>1236</v>
      </c>
      <c r="J47" s="136"/>
      <c r="K47" s="140">
        <f>ROUND(K34-K44,2)</f>
        <v>1236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45</v>
      </c>
      <c r="E48" s="4"/>
      <c r="F48" s="159"/>
      <c r="G48" s="198" t="s">
        <v>82</v>
      </c>
      <c r="H48" s="91"/>
      <c r="I48" s="21">
        <f>ROUND(I35-I45,2)</f>
        <v>103</v>
      </c>
      <c r="J48" s="37"/>
      <c r="K48" s="96">
        <f>ROUND(K35-K45,2)</f>
        <v>103</v>
      </c>
    </row>
    <row r="49" spans="2:14" s="2" customFormat="1" ht="18.75" customHeight="1" x14ac:dyDescent="0.25">
      <c r="B49" s="187" t="s">
        <v>24</v>
      </c>
      <c r="C49" s="188">
        <v>35</v>
      </c>
      <c r="D49" s="189" t="s">
        <v>48</v>
      </c>
      <c r="E49" s="190"/>
      <c r="F49" s="191"/>
      <c r="G49" s="212" t="s">
        <v>83</v>
      </c>
      <c r="H49" s="110" t="s">
        <v>95</v>
      </c>
      <c r="I49" s="107">
        <f>ROUND(I22/I48,2)</f>
        <v>64.97</v>
      </c>
      <c r="J49" s="111" t="s">
        <v>95</v>
      </c>
      <c r="K49" s="109">
        <f>ROUND(K22/K48,2)</f>
        <v>77.34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49</v>
      </c>
      <c r="C52" s="84"/>
      <c r="D52" s="79"/>
      <c r="E52" s="79"/>
      <c r="F52" s="85"/>
      <c r="G52" s="222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26</v>
      </c>
      <c r="C54" s="8"/>
      <c r="D54" s="8" t="s">
        <v>0</v>
      </c>
      <c r="E54" s="7"/>
      <c r="F54" s="59"/>
      <c r="G54" s="223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27</v>
      </c>
      <c r="C55" s="4"/>
      <c r="D55" s="6"/>
      <c r="E55" s="12" t="s">
        <v>94</v>
      </c>
      <c r="F55" s="152" t="s">
        <v>62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96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33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28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29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30</v>
      </c>
      <c r="E60" s="24">
        <v>0.03</v>
      </c>
      <c r="F60" s="196">
        <v>0.03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58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31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34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35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36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32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37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115</v>
      </c>
      <c r="C68" s="4">
        <v>48</v>
      </c>
      <c r="D68" s="28" t="s">
        <v>116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50</v>
      </c>
      <c r="E69" s="54">
        <f>SUM(E56:E68)</f>
        <v>0.68</v>
      </c>
      <c r="F69" s="153">
        <f>SUM(F56:F68)</f>
        <v>0.68</v>
      </c>
      <c r="G69" s="213" t="s">
        <v>84</v>
      </c>
      <c r="H69" s="170" t="s">
        <v>95</v>
      </c>
      <c r="I69" s="56">
        <f>ROUND(F69*I49,2)</f>
        <v>44.18</v>
      </c>
      <c r="J69" s="55"/>
      <c r="K69" s="171">
        <f>ROUND(F69*K49,2)</f>
        <v>52.59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40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38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114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39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51</v>
      </c>
      <c r="E76" s="145">
        <f>SUM(E72:E75)</f>
        <v>0.14000000000000001</v>
      </c>
      <c r="F76" s="155">
        <f>SUM(F72:F75)</f>
        <v>0.14000000000000001</v>
      </c>
      <c r="G76" s="218" t="s">
        <v>85</v>
      </c>
      <c r="H76" s="146" t="s">
        <v>95</v>
      </c>
      <c r="I76" s="147">
        <f>ROUND(F76*I49,2)</f>
        <v>9.1</v>
      </c>
      <c r="J76" s="148"/>
      <c r="K76" s="149">
        <f>ROUND(F76*K49,2)</f>
        <v>10.83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52</v>
      </c>
      <c r="E78" s="145">
        <f>E76+E69</f>
        <v>0.82</v>
      </c>
      <c r="F78" s="155">
        <f>F76+F69</f>
        <v>0.82</v>
      </c>
      <c r="G78" s="218" t="s">
        <v>86</v>
      </c>
      <c r="H78" s="146" t="s">
        <v>95</v>
      </c>
      <c r="I78" s="147">
        <f>ROUND(F78*I49,2)</f>
        <v>53.28</v>
      </c>
      <c r="J78" s="148"/>
      <c r="K78" s="149">
        <f>ROUND(F78*K49,2)</f>
        <v>63.42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100</v>
      </c>
      <c r="C80" s="79"/>
      <c r="D80" s="80"/>
      <c r="E80" s="79"/>
      <c r="F80" s="169"/>
      <c r="G80" s="219" t="s">
        <v>87</v>
      </c>
      <c r="H80" s="102" t="s">
        <v>95</v>
      </c>
      <c r="I80" s="81">
        <f>ROUND(I49+I78,2)</f>
        <v>118.25</v>
      </c>
      <c r="J80" s="82"/>
      <c r="K80" s="103">
        <f>ROUND(K49+K78,2)</f>
        <v>140.76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59</v>
      </c>
      <c r="C82" s="190"/>
      <c r="D82" s="189"/>
      <c r="E82" s="190"/>
      <c r="F82" s="191"/>
      <c r="G82" s="212" t="s">
        <v>89</v>
      </c>
      <c r="H82" s="106" t="s">
        <v>95</v>
      </c>
      <c r="I82" s="107">
        <f>ROUND(I80*I48,2)</f>
        <v>12179.75</v>
      </c>
      <c r="J82" s="224"/>
      <c r="K82" s="109">
        <f>ROUND(K80*K48,2)</f>
        <v>14498.28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60</v>
      </c>
      <c r="C84" s="26"/>
      <c r="D84" s="27"/>
      <c r="E84" s="26"/>
      <c r="F84" s="160"/>
      <c r="G84" s="220" t="s">
        <v>88</v>
      </c>
      <c r="H84" s="104" t="s">
        <v>95</v>
      </c>
      <c r="I84" s="97">
        <f>ROUND(I80*I47,2)</f>
        <v>146157</v>
      </c>
      <c r="J84" s="226"/>
      <c r="K84" s="98">
        <f>ROUND(K80*K47,2)</f>
        <v>173979.36</v>
      </c>
    </row>
    <row r="85" spans="2:11" x14ac:dyDescent="0.2">
      <c r="B85" s="229"/>
    </row>
    <row r="86" spans="2:11" ht="3.75" customHeight="1" x14ac:dyDescent="0.2"/>
    <row r="87" spans="2:11" x14ac:dyDescent="0.2">
      <c r="B87" s="221" t="s">
        <v>150</v>
      </c>
      <c r="D87" s="221" t="s">
        <v>140</v>
      </c>
      <c r="E87" s="33" t="s">
        <v>90</v>
      </c>
      <c r="F87" s="73"/>
      <c r="G87" s="33" t="s">
        <v>126</v>
      </c>
    </row>
    <row r="88" spans="2:11" ht="3" customHeight="1" x14ac:dyDescent="0.2">
      <c r="E88" s="33"/>
    </row>
    <row r="89" spans="2:11" ht="36.75" customHeight="1" x14ac:dyDescent="0.2">
      <c r="B89" s="235" t="s">
        <v>135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sheetProtection password="D2DC" sheet="1" objects="1" scenarios="1"/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0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Q89"/>
  <sheetViews>
    <sheetView showGridLines="0" view="pageBreakPreview" zoomScale="112" zoomScaleNormal="85" zoomScaleSheetLayoutView="112" zoomScalePageLayoutView="70" workbookViewId="0">
      <selection activeCell="B1" sqref="B1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119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120</v>
      </c>
      <c r="C3" s="231"/>
      <c r="D3" s="231"/>
      <c r="E3" s="72" t="s">
        <v>129</v>
      </c>
      <c r="F3" s="232" t="s">
        <v>142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143</v>
      </c>
      <c r="I5" s="239"/>
      <c r="J5" s="236" t="s">
        <v>144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65</v>
      </c>
      <c r="G6" s="198" t="s">
        <v>101</v>
      </c>
      <c r="H6" s="87"/>
      <c r="I6" s="67" t="s">
        <v>67</v>
      </c>
      <c r="J6" s="35"/>
      <c r="K6" s="88" t="s">
        <v>66</v>
      </c>
    </row>
    <row r="7" spans="2:11" s="2" customFormat="1" ht="15" x14ac:dyDescent="0.25">
      <c r="B7" s="58" t="s">
        <v>41</v>
      </c>
      <c r="C7" s="5">
        <v>1</v>
      </c>
      <c r="D7" s="4" t="s">
        <v>53</v>
      </c>
      <c r="E7" s="4"/>
      <c r="F7" s="165"/>
      <c r="G7" s="201"/>
      <c r="H7" s="89" t="s">
        <v>95</v>
      </c>
      <c r="I7" s="20">
        <v>2536</v>
      </c>
      <c r="J7" s="36" t="s">
        <v>95</v>
      </c>
      <c r="K7" s="150">
        <v>3247</v>
      </c>
    </row>
    <row r="8" spans="2:11" s="2" customFormat="1" ht="15" x14ac:dyDescent="0.25">
      <c r="B8" s="58" t="s">
        <v>0</v>
      </c>
      <c r="C8" s="5">
        <v>2</v>
      </c>
      <c r="D8" s="172" t="s">
        <v>54</v>
      </c>
      <c r="E8" s="172"/>
      <c r="F8" s="192">
        <v>0.3</v>
      </c>
      <c r="G8" s="200" t="s">
        <v>102</v>
      </c>
      <c r="H8" s="173" t="s">
        <v>95</v>
      </c>
      <c r="I8" s="126">
        <f>ROUND(I7*(1+F8),2)</f>
        <v>3296.8</v>
      </c>
      <c r="J8" s="174" t="s">
        <v>95</v>
      </c>
      <c r="K8" s="128">
        <f>ROUND(K7*(1+F8),2)</f>
        <v>4221.1000000000004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68</v>
      </c>
      <c r="H9" s="89" t="s">
        <v>95</v>
      </c>
      <c r="I9" s="20">
        <f>ROUND(I8/F9,2)</f>
        <v>761.39</v>
      </c>
      <c r="J9" s="36" t="s">
        <v>95</v>
      </c>
      <c r="K9" s="150">
        <f>ROUND(K8/F9,2)</f>
        <v>974.85</v>
      </c>
    </row>
    <row r="10" spans="2:11" s="2" customFormat="1" x14ac:dyDescent="0.25">
      <c r="B10" s="3" t="s">
        <v>0</v>
      </c>
      <c r="C10" s="5">
        <v>4</v>
      </c>
      <c r="D10" s="28" t="s">
        <v>97</v>
      </c>
      <c r="E10" s="28"/>
      <c r="F10" s="162">
        <v>40</v>
      </c>
      <c r="G10" s="202" t="s">
        <v>69</v>
      </c>
      <c r="H10" s="93" t="s">
        <v>95</v>
      </c>
      <c r="I10" s="75">
        <f>ROUND(I9/F10,2)</f>
        <v>19.03</v>
      </c>
      <c r="J10" s="74" t="s">
        <v>95</v>
      </c>
      <c r="K10" s="94">
        <f>ROUND(K9/F10,2)</f>
        <v>24.37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70</v>
      </c>
      <c r="H12" s="93" t="s">
        <v>95</v>
      </c>
      <c r="I12" s="75">
        <f>ROUND($I$8*F12,2)</f>
        <v>719.69</v>
      </c>
      <c r="J12" s="74" t="s">
        <v>95</v>
      </c>
      <c r="K12" s="94">
        <f>ROUND($K$8*F12,2)</f>
        <v>921.47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71</v>
      </c>
      <c r="H13" s="93" t="s">
        <v>95</v>
      </c>
      <c r="I13" s="75">
        <f>ROUND($I$8*F13,2)</f>
        <v>148.36000000000001</v>
      </c>
      <c r="J13" s="74" t="s">
        <v>95</v>
      </c>
      <c r="K13" s="94">
        <f>ROUND($K$8*F13,2)</f>
        <v>189.95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72</v>
      </c>
      <c r="H14" s="93" t="s">
        <v>95</v>
      </c>
      <c r="I14" s="75">
        <f>ROUND($I$8*F14,2)</f>
        <v>98.9</v>
      </c>
      <c r="J14" s="74" t="s">
        <v>95</v>
      </c>
      <c r="K14" s="94">
        <f>ROUND($K$8*F14,2)</f>
        <v>126.63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73</v>
      </c>
      <c r="H15" s="93" t="s">
        <v>95</v>
      </c>
      <c r="I15" s="75">
        <f>ROUND($I$8*F15,2)</f>
        <v>50.44</v>
      </c>
      <c r="J15" s="74" t="s">
        <v>95</v>
      </c>
      <c r="K15" s="94">
        <f>ROUND($K$8*F15,2)</f>
        <v>64.58</v>
      </c>
    </row>
    <row r="16" spans="2:11" s="2" customFormat="1" x14ac:dyDescent="0.25">
      <c r="B16" s="3"/>
      <c r="C16" s="5">
        <v>10</v>
      </c>
      <c r="D16" s="31" t="s">
        <v>91</v>
      </c>
      <c r="E16" s="31"/>
      <c r="F16" s="176">
        <f>SUM(F12:F15)</f>
        <v>0.30859999999999999</v>
      </c>
      <c r="G16" s="204" t="s">
        <v>74</v>
      </c>
      <c r="H16" s="125" t="s">
        <v>95</v>
      </c>
      <c r="I16" s="132">
        <f>ROUND($I$8*F16,2)</f>
        <v>1017.39</v>
      </c>
      <c r="J16" s="127" t="s">
        <v>95</v>
      </c>
      <c r="K16" s="133">
        <f>ROUND($K$8*F16,2)</f>
        <v>1302.6300000000001</v>
      </c>
    </row>
    <row r="17" spans="2:11" s="2" customFormat="1" x14ac:dyDescent="0.25">
      <c r="B17" s="175" t="s">
        <v>55</v>
      </c>
      <c r="C17" s="18"/>
      <c r="D17" s="177" t="s">
        <v>93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56</v>
      </c>
      <c r="C18" s="5">
        <v>11</v>
      </c>
      <c r="D18" s="28" t="s">
        <v>91</v>
      </c>
      <c r="E18" s="28"/>
      <c r="F18" s="166">
        <f>F16-0.94%</f>
        <v>0.29920000000000002</v>
      </c>
      <c r="G18" s="203" t="s">
        <v>75</v>
      </c>
      <c r="H18" s="93" t="s">
        <v>95</v>
      </c>
      <c r="I18" s="75">
        <f>ROUND($I$8*F18,2)</f>
        <v>986.4</v>
      </c>
      <c r="J18" s="74" t="s">
        <v>95</v>
      </c>
      <c r="K18" s="94">
        <f>ROUND($K$8*F18,2)</f>
        <v>1262.95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57</v>
      </c>
      <c r="E20" s="50"/>
      <c r="F20" s="168"/>
      <c r="G20" s="207" t="s">
        <v>76</v>
      </c>
      <c r="H20" s="121" t="s">
        <v>95</v>
      </c>
      <c r="I20" s="52">
        <f>ROUND((I8+I18)*2,2)</f>
        <v>8566.4</v>
      </c>
      <c r="J20" s="51" t="s">
        <v>95</v>
      </c>
      <c r="K20" s="122">
        <f>ROUND((K8+K18)*2,2)</f>
        <v>10968.1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98</v>
      </c>
      <c r="E22" s="64"/>
      <c r="F22" s="161"/>
      <c r="G22" s="209" t="s">
        <v>105</v>
      </c>
      <c r="H22" s="123"/>
      <c r="I22" s="66">
        <f>ROUND(((I8+I16)*12+I20)/12,2)</f>
        <v>5028.0600000000004</v>
      </c>
      <c r="J22" s="65"/>
      <c r="K22" s="124">
        <f>ROUND(((K8+K16)*12+K20)/12,2)</f>
        <v>6437.74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77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3">
        <v>13</v>
      </c>
      <c r="G26" s="202"/>
      <c r="H26" s="93"/>
      <c r="I26" s="75">
        <f>F26</f>
        <v>13</v>
      </c>
      <c r="J26" s="74"/>
      <c r="K26" s="94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3"/>
      <c r="G27" s="202" t="s">
        <v>103</v>
      </c>
      <c r="H27" s="93"/>
      <c r="I27" s="76">
        <f>ROUND(I24-I25-I26,2)</f>
        <v>248</v>
      </c>
      <c r="J27" s="74"/>
      <c r="K27" s="95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132</v>
      </c>
      <c r="D29" s="28" t="s">
        <v>134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131</v>
      </c>
      <c r="D30" s="28" t="s">
        <v>133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14</v>
      </c>
      <c r="E31" s="29"/>
      <c r="F31" s="163"/>
      <c r="G31" s="202" t="s">
        <v>78</v>
      </c>
      <c r="H31" s="93"/>
      <c r="I31" s="76">
        <f>I27-I28-I29-I30</f>
        <v>210.5</v>
      </c>
      <c r="J31" s="74"/>
      <c r="K31" s="95">
        <f>ROUND(K27-K28-K29-K30,2)</f>
        <v>210.5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15</v>
      </c>
      <c r="C33" s="5">
        <v>21</v>
      </c>
      <c r="D33" s="32" t="s">
        <v>16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43</v>
      </c>
      <c r="E34" s="28"/>
      <c r="F34" s="162"/>
      <c r="G34" s="202" t="s">
        <v>79</v>
      </c>
      <c r="H34" s="93"/>
      <c r="I34" s="75">
        <f>ROUND(I31*I33,2)</f>
        <v>1684</v>
      </c>
      <c r="J34" s="74"/>
      <c r="K34" s="94">
        <f>ROUND(K31*K33,2)</f>
        <v>1684</v>
      </c>
    </row>
    <row r="35" spans="2:11" s="2" customFormat="1" ht="15.75" thickBot="1" x14ac:dyDescent="0.3">
      <c r="B35" s="3"/>
      <c r="C35" s="5">
        <v>23</v>
      </c>
      <c r="D35" s="28" t="s">
        <v>44</v>
      </c>
      <c r="E35" s="31"/>
      <c r="F35" s="157"/>
      <c r="G35" s="204" t="s">
        <v>80</v>
      </c>
      <c r="H35" s="125"/>
      <c r="I35" s="126">
        <f>ROUND(I34/12,2)</f>
        <v>140.33000000000001</v>
      </c>
      <c r="J35" s="127"/>
      <c r="K35" s="128">
        <f>ROUND(K31/K24*30.4167*8,2)</f>
        <v>140.33000000000001</v>
      </c>
    </row>
    <row r="36" spans="2:11" s="2" customFormat="1" ht="12.75" customHeight="1" thickBot="1" x14ac:dyDescent="0.3">
      <c r="B36" s="3"/>
      <c r="C36" s="5"/>
      <c r="D36" s="31"/>
      <c r="E36" s="12" t="s">
        <v>94</v>
      </c>
      <c r="F36" s="152" t="s">
        <v>63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17</v>
      </c>
      <c r="C37" s="5">
        <v>24</v>
      </c>
      <c r="D37" s="32" t="s">
        <v>64</v>
      </c>
      <c r="E37" s="131">
        <v>12</v>
      </c>
      <c r="F37" s="194">
        <v>12</v>
      </c>
      <c r="G37" s="203" t="s">
        <v>106</v>
      </c>
      <c r="H37" s="93"/>
      <c r="I37" s="75">
        <f t="shared" ref="I37:I43" si="0">ROUND(F37*$I$33,2)</f>
        <v>96</v>
      </c>
      <c r="J37" s="74"/>
      <c r="K37" s="94">
        <f t="shared" ref="K37:K43" si="1">ROUND(F37*$K$33,2)</f>
        <v>96</v>
      </c>
    </row>
    <row r="38" spans="2:11" s="2" customFormat="1" x14ac:dyDescent="0.25">
      <c r="B38" s="17" t="s">
        <v>42</v>
      </c>
      <c r="C38" s="5">
        <v>25</v>
      </c>
      <c r="D38" s="28" t="s">
        <v>18</v>
      </c>
      <c r="E38" s="30">
        <v>2</v>
      </c>
      <c r="F38" s="193">
        <v>2</v>
      </c>
      <c r="G38" s="203" t="s">
        <v>107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19</v>
      </c>
      <c r="E39" s="30">
        <v>2</v>
      </c>
      <c r="F39" s="193">
        <v>2</v>
      </c>
      <c r="G39" s="203" t="s">
        <v>108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20</v>
      </c>
      <c r="E40" s="30">
        <v>12</v>
      </c>
      <c r="F40" s="193">
        <v>12</v>
      </c>
      <c r="G40" s="203" t="s">
        <v>109</v>
      </c>
      <c r="H40" s="93"/>
      <c r="I40" s="75">
        <f t="shared" si="0"/>
        <v>96</v>
      </c>
      <c r="J40" s="74"/>
      <c r="K40" s="94">
        <f t="shared" si="1"/>
        <v>96</v>
      </c>
    </row>
    <row r="41" spans="2:11" s="2" customFormat="1" x14ac:dyDescent="0.25">
      <c r="B41" s="3"/>
      <c r="C41" s="5">
        <v>28</v>
      </c>
      <c r="D41" s="28" t="s">
        <v>113</v>
      </c>
      <c r="E41" s="30">
        <v>3</v>
      </c>
      <c r="F41" s="193">
        <v>3</v>
      </c>
      <c r="G41" s="203" t="s">
        <v>110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21</v>
      </c>
      <c r="E42" s="30">
        <v>5</v>
      </c>
      <c r="F42" s="193">
        <v>5</v>
      </c>
      <c r="G42" s="203" t="s">
        <v>111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25</v>
      </c>
      <c r="E43" s="30">
        <v>20</v>
      </c>
      <c r="F43" s="193">
        <v>20</v>
      </c>
      <c r="G43" s="203" t="s">
        <v>112</v>
      </c>
      <c r="H43" s="93"/>
      <c r="I43" s="75">
        <f t="shared" si="0"/>
        <v>160</v>
      </c>
      <c r="J43" s="74"/>
      <c r="K43" s="94">
        <f t="shared" si="1"/>
        <v>160</v>
      </c>
    </row>
    <row r="44" spans="2:11" s="2" customFormat="1" ht="15" x14ac:dyDescent="0.25">
      <c r="B44" s="3"/>
      <c r="C44" s="5">
        <v>31</v>
      </c>
      <c r="D44" s="28" t="s">
        <v>46</v>
      </c>
      <c r="E44" s="28"/>
      <c r="F44" s="156">
        <f>I44/I34</f>
        <v>0.26600000000000001</v>
      </c>
      <c r="G44" s="203" t="s">
        <v>92</v>
      </c>
      <c r="H44" s="93"/>
      <c r="I44" s="75">
        <f>ROUND(SUM(I37:I43),2)</f>
        <v>448</v>
      </c>
      <c r="J44" s="74"/>
      <c r="K44" s="94">
        <f>ROUND(SUM(K37:K43),2)</f>
        <v>448</v>
      </c>
    </row>
    <row r="45" spans="2:11" s="2" customFormat="1" ht="15" x14ac:dyDescent="0.25">
      <c r="B45" s="3"/>
      <c r="C45" s="5">
        <v>32</v>
      </c>
      <c r="D45" s="28" t="s">
        <v>47</v>
      </c>
      <c r="E45" s="28"/>
      <c r="F45" s="156">
        <f>F44</f>
        <v>0.26600000000000001</v>
      </c>
      <c r="G45" s="203" t="s">
        <v>104</v>
      </c>
      <c r="H45" s="93"/>
      <c r="I45" s="76">
        <f>ROUND(F45*I35,2)</f>
        <v>37.33</v>
      </c>
      <c r="J45" s="74"/>
      <c r="K45" s="95">
        <f>ROUND(F45*K35,2)</f>
        <v>37.33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22</v>
      </c>
      <c r="C47" s="5">
        <v>33</v>
      </c>
      <c r="D47" s="32" t="s">
        <v>23</v>
      </c>
      <c r="E47" s="32"/>
      <c r="F47" s="158"/>
      <c r="G47" s="210" t="s">
        <v>81</v>
      </c>
      <c r="H47" s="134"/>
      <c r="I47" s="135">
        <f>ROUND(I34-I44,2)</f>
        <v>1236</v>
      </c>
      <c r="J47" s="136"/>
      <c r="K47" s="140">
        <f>ROUND(K34-K44,2)</f>
        <v>1236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45</v>
      </c>
      <c r="E48" s="4"/>
      <c r="F48" s="159"/>
      <c r="G48" s="198" t="s">
        <v>82</v>
      </c>
      <c r="H48" s="91"/>
      <c r="I48" s="21">
        <f>ROUND(I35-I45,2)</f>
        <v>103</v>
      </c>
      <c r="J48" s="37"/>
      <c r="K48" s="96">
        <f>ROUND(K35-K45,2)</f>
        <v>103</v>
      </c>
    </row>
    <row r="49" spans="2:14" s="2" customFormat="1" ht="18.75" customHeight="1" x14ac:dyDescent="0.25">
      <c r="B49" s="187" t="s">
        <v>24</v>
      </c>
      <c r="C49" s="188">
        <v>35</v>
      </c>
      <c r="D49" s="189" t="s">
        <v>48</v>
      </c>
      <c r="E49" s="190"/>
      <c r="F49" s="191"/>
      <c r="G49" s="212" t="s">
        <v>83</v>
      </c>
      <c r="H49" s="110" t="s">
        <v>95</v>
      </c>
      <c r="I49" s="107">
        <f>ROUND(I22/I48,2)</f>
        <v>48.82</v>
      </c>
      <c r="J49" s="111" t="s">
        <v>95</v>
      </c>
      <c r="K49" s="109">
        <f>ROUND(K22/K48,2)</f>
        <v>62.5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49</v>
      </c>
      <c r="C52" s="84"/>
      <c r="D52" s="79"/>
      <c r="E52" s="79"/>
      <c r="F52" s="85"/>
      <c r="G52" s="227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26</v>
      </c>
      <c r="C54" s="8"/>
      <c r="D54" s="8" t="s">
        <v>0</v>
      </c>
      <c r="E54" s="7"/>
      <c r="F54" s="59"/>
      <c r="G54" s="228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27</v>
      </c>
      <c r="C55" s="4"/>
      <c r="D55" s="6"/>
      <c r="E55" s="12" t="s">
        <v>94</v>
      </c>
      <c r="F55" s="152" t="s">
        <v>62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96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33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28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29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30</v>
      </c>
      <c r="E60" s="24">
        <v>0.03</v>
      </c>
      <c r="F60" s="196">
        <v>0.03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58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31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34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35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36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32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37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115</v>
      </c>
      <c r="C68" s="4">
        <v>48</v>
      </c>
      <c r="D68" s="28" t="s">
        <v>116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50</v>
      </c>
      <c r="E69" s="54">
        <f>SUM(E56:E68)</f>
        <v>0.68</v>
      </c>
      <c r="F69" s="153">
        <f>SUM(F56:F68)</f>
        <v>0.68</v>
      </c>
      <c r="G69" s="213" t="s">
        <v>84</v>
      </c>
      <c r="H69" s="170" t="s">
        <v>95</v>
      </c>
      <c r="I69" s="56">
        <f>ROUND(F69*I49,2)</f>
        <v>33.200000000000003</v>
      </c>
      <c r="J69" s="55"/>
      <c r="K69" s="171">
        <f>ROUND(F69*K49,2)</f>
        <v>42.5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40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38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114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39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51</v>
      </c>
      <c r="E76" s="145">
        <f>SUM(E72:E75)</f>
        <v>0.14000000000000001</v>
      </c>
      <c r="F76" s="155">
        <f>SUM(F72:F75)</f>
        <v>0.14000000000000001</v>
      </c>
      <c r="G76" s="218" t="s">
        <v>85</v>
      </c>
      <c r="H76" s="146" t="s">
        <v>95</v>
      </c>
      <c r="I76" s="147">
        <f>ROUND(F76*I49,2)</f>
        <v>6.83</v>
      </c>
      <c r="J76" s="148"/>
      <c r="K76" s="149">
        <f>ROUND(F76*K49,2)</f>
        <v>8.75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52</v>
      </c>
      <c r="E78" s="145">
        <f>E76+E69</f>
        <v>0.82</v>
      </c>
      <c r="F78" s="155">
        <f>F76+F69</f>
        <v>0.82</v>
      </c>
      <c r="G78" s="218" t="s">
        <v>86</v>
      </c>
      <c r="H78" s="146" t="s">
        <v>95</v>
      </c>
      <c r="I78" s="147">
        <f>ROUND(F78*I49,2)</f>
        <v>40.03</v>
      </c>
      <c r="J78" s="148"/>
      <c r="K78" s="149">
        <f>ROUND(F78*K49,2)</f>
        <v>51.25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100</v>
      </c>
      <c r="C80" s="79"/>
      <c r="D80" s="80"/>
      <c r="E80" s="79"/>
      <c r="F80" s="169"/>
      <c r="G80" s="219" t="s">
        <v>87</v>
      </c>
      <c r="H80" s="102" t="s">
        <v>95</v>
      </c>
      <c r="I80" s="81">
        <f>ROUND(I49+I78,2)</f>
        <v>88.85</v>
      </c>
      <c r="J80" s="82"/>
      <c r="K80" s="103">
        <f>ROUND(K49+K78,2)</f>
        <v>113.75</v>
      </c>
    </row>
    <row r="81" spans="2:11" s="2" customFormat="1" ht="5.25" customHeight="1" x14ac:dyDescent="0.25">
      <c r="B81" s="3"/>
      <c r="C81" s="4"/>
      <c r="D81" s="4"/>
      <c r="E81" s="4"/>
      <c r="F81" s="5"/>
      <c r="G81" s="198" t="s">
        <v>0</v>
      </c>
      <c r="H81" s="91"/>
      <c r="I81" s="57"/>
      <c r="J81" s="5"/>
      <c r="K81" s="90"/>
    </row>
    <row r="82" spans="2:11" s="2" customFormat="1" ht="15" x14ac:dyDescent="0.25">
      <c r="B82" s="187" t="s">
        <v>59</v>
      </c>
      <c r="C82" s="190"/>
      <c r="D82" s="189"/>
      <c r="E82" s="190"/>
      <c r="F82" s="191"/>
      <c r="G82" s="212" t="s">
        <v>89</v>
      </c>
      <c r="H82" s="106" t="s">
        <v>95</v>
      </c>
      <c r="I82" s="107">
        <f>ROUND(I80*I48,2)</f>
        <v>9151.5499999999993</v>
      </c>
      <c r="J82" s="224"/>
      <c r="K82" s="109">
        <f>ROUND(K80*K48,2)</f>
        <v>11716.25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60</v>
      </c>
      <c r="C84" s="26"/>
      <c r="D84" s="27"/>
      <c r="E84" s="26"/>
      <c r="F84" s="160"/>
      <c r="G84" s="220" t="s">
        <v>88</v>
      </c>
      <c r="H84" s="104" t="s">
        <v>95</v>
      </c>
      <c r="I84" s="97">
        <f>ROUND(I80*I47,2)</f>
        <v>109818.6</v>
      </c>
      <c r="J84" s="226"/>
      <c r="K84" s="98">
        <f>ROUND(K80*K47,2)</f>
        <v>140595</v>
      </c>
    </row>
    <row r="86" spans="2:11" ht="3.75" customHeight="1" x14ac:dyDescent="0.2"/>
    <row r="87" spans="2:11" x14ac:dyDescent="0.2">
      <c r="B87" s="221" t="s">
        <v>139</v>
      </c>
      <c r="D87" s="221" t="s">
        <v>140</v>
      </c>
      <c r="E87" s="33" t="s">
        <v>90</v>
      </c>
      <c r="F87" s="73"/>
      <c r="G87" s="33" t="s">
        <v>126</v>
      </c>
    </row>
    <row r="88" spans="2:11" ht="3" customHeight="1" x14ac:dyDescent="0.2">
      <c r="E88" s="33"/>
    </row>
    <row r="89" spans="2:11" ht="36.75" customHeight="1" x14ac:dyDescent="0.2">
      <c r="B89" s="235" t="s">
        <v>135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sheetProtection password="D2DC" sheet="1" objects="1" scenarios="1"/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0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Q89"/>
  <sheetViews>
    <sheetView showGridLines="0" view="pageBreakPreview" zoomScaleNormal="85" zoomScaleSheetLayoutView="100" zoomScalePageLayoutView="70" workbookViewId="0">
      <selection activeCell="B1" sqref="B1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123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124</v>
      </c>
      <c r="C3" s="231"/>
      <c r="D3" s="231"/>
      <c r="E3" s="72" t="s">
        <v>130</v>
      </c>
      <c r="F3" s="232" t="s">
        <v>149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147</v>
      </c>
      <c r="I5" s="239"/>
      <c r="J5" s="236" t="s">
        <v>148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65</v>
      </c>
      <c r="G6" s="198" t="s">
        <v>101</v>
      </c>
      <c r="H6" s="87"/>
      <c r="I6" s="67" t="s">
        <v>67</v>
      </c>
      <c r="J6" s="35"/>
      <c r="K6" s="88" t="s">
        <v>66</v>
      </c>
    </row>
    <row r="7" spans="2:11" s="2" customFormat="1" ht="15" x14ac:dyDescent="0.25">
      <c r="B7" s="58" t="s">
        <v>41</v>
      </c>
      <c r="C7" s="5">
        <v>1</v>
      </c>
      <c r="D7" s="4" t="s">
        <v>53</v>
      </c>
      <c r="E7" s="4"/>
      <c r="F7" s="165"/>
      <c r="G7" s="201"/>
      <c r="H7" s="89" t="s">
        <v>95</v>
      </c>
      <c r="I7" s="20">
        <v>2176</v>
      </c>
      <c r="J7" s="36" t="s">
        <v>95</v>
      </c>
      <c r="K7" s="150">
        <v>2571</v>
      </c>
    </row>
    <row r="8" spans="2:11" s="2" customFormat="1" ht="15" x14ac:dyDescent="0.25">
      <c r="B8" s="58" t="s">
        <v>0</v>
      </c>
      <c r="C8" s="5">
        <v>2</v>
      </c>
      <c r="D8" s="172" t="s">
        <v>54</v>
      </c>
      <c r="E8" s="172"/>
      <c r="F8" s="192">
        <v>0.3</v>
      </c>
      <c r="G8" s="200" t="s">
        <v>102</v>
      </c>
      <c r="H8" s="173" t="s">
        <v>95</v>
      </c>
      <c r="I8" s="126">
        <f>ROUND(I7*(1+F8),2)</f>
        <v>2828.8</v>
      </c>
      <c r="J8" s="174" t="s">
        <v>95</v>
      </c>
      <c r="K8" s="128">
        <f>ROUND(K7*(1+F8),2)</f>
        <v>3342.3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68</v>
      </c>
      <c r="H9" s="89" t="s">
        <v>95</v>
      </c>
      <c r="I9" s="20">
        <f>ROUND(I8/F9,2)</f>
        <v>653.29999999999995</v>
      </c>
      <c r="J9" s="36" t="s">
        <v>95</v>
      </c>
      <c r="K9" s="150">
        <f>ROUND(K8/F9,2)</f>
        <v>771.89</v>
      </c>
    </row>
    <row r="10" spans="2:11" s="2" customFormat="1" x14ac:dyDescent="0.25">
      <c r="B10" s="3" t="s">
        <v>0</v>
      </c>
      <c r="C10" s="5">
        <v>4</v>
      </c>
      <c r="D10" s="28" t="s">
        <v>97</v>
      </c>
      <c r="E10" s="28"/>
      <c r="F10" s="162">
        <v>40</v>
      </c>
      <c r="G10" s="202" t="s">
        <v>69</v>
      </c>
      <c r="H10" s="93" t="s">
        <v>95</v>
      </c>
      <c r="I10" s="75">
        <f>ROUND(I9/F10,2)</f>
        <v>16.329999999999998</v>
      </c>
      <c r="J10" s="74" t="s">
        <v>95</v>
      </c>
      <c r="K10" s="94">
        <f>ROUND(K9/F10,2)</f>
        <v>19.3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70</v>
      </c>
      <c r="H12" s="93" t="s">
        <v>95</v>
      </c>
      <c r="I12" s="75">
        <f>ROUND($I$8*F12,2)</f>
        <v>617.53</v>
      </c>
      <c r="J12" s="74" t="s">
        <v>95</v>
      </c>
      <c r="K12" s="94">
        <f>ROUND($K$8*F12,2)</f>
        <v>729.62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71</v>
      </c>
      <c r="H13" s="93" t="s">
        <v>95</v>
      </c>
      <c r="I13" s="75">
        <f>ROUND($I$8*F13,2)</f>
        <v>127.3</v>
      </c>
      <c r="J13" s="74" t="s">
        <v>95</v>
      </c>
      <c r="K13" s="94">
        <f>ROUND($K$8*F13,2)</f>
        <v>150.4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72</v>
      </c>
      <c r="H14" s="93" t="s">
        <v>95</v>
      </c>
      <c r="I14" s="75">
        <f>ROUND($I$8*F14,2)</f>
        <v>84.86</v>
      </c>
      <c r="J14" s="74" t="s">
        <v>95</v>
      </c>
      <c r="K14" s="94">
        <f>ROUND($K$8*F14,2)</f>
        <v>100.27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73</v>
      </c>
      <c r="H15" s="93" t="s">
        <v>95</v>
      </c>
      <c r="I15" s="75">
        <f>ROUND($I$8*F15,2)</f>
        <v>43.28</v>
      </c>
      <c r="J15" s="74" t="s">
        <v>95</v>
      </c>
      <c r="K15" s="94">
        <f>ROUND($K$8*F15,2)</f>
        <v>51.14</v>
      </c>
    </row>
    <row r="16" spans="2:11" s="2" customFormat="1" x14ac:dyDescent="0.25">
      <c r="B16" s="3"/>
      <c r="C16" s="5">
        <v>10</v>
      </c>
      <c r="D16" s="31" t="s">
        <v>91</v>
      </c>
      <c r="E16" s="31"/>
      <c r="F16" s="176">
        <f>SUM(F12:F15)</f>
        <v>0.30859999999999999</v>
      </c>
      <c r="G16" s="204" t="s">
        <v>74</v>
      </c>
      <c r="H16" s="125" t="s">
        <v>95</v>
      </c>
      <c r="I16" s="132">
        <f>ROUND($I$8*F16,2)</f>
        <v>872.97</v>
      </c>
      <c r="J16" s="127" t="s">
        <v>95</v>
      </c>
      <c r="K16" s="133">
        <f>ROUND($K$8*F16,2)</f>
        <v>1031.43</v>
      </c>
    </row>
    <row r="17" spans="2:11" s="2" customFormat="1" x14ac:dyDescent="0.25">
      <c r="B17" s="175" t="s">
        <v>55</v>
      </c>
      <c r="C17" s="18"/>
      <c r="D17" s="177" t="s">
        <v>93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56</v>
      </c>
      <c r="C18" s="5">
        <v>11</v>
      </c>
      <c r="D18" s="28" t="s">
        <v>91</v>
      </c>
      <c r="E18" s="28"/>
      <c r="F18" s="166">
        <f>F16-0.94%</f>
        <v>0.29920000000000002</v>
      </c>
      <c r="G18" s="203" t="s">
        <v>75</v>
      </c>
      <c r="H18" s="93" t="s">
        <v>95</v>
      </c>
      <c r="I18" s="75">
        <f>ROUND($I$8*F18,2)</f>
        <v>846.38</v>
      </c>
      <c r="J18" s="74" t="s">
        <v>95</v>
      </c>
      <c r="K18" s="94">
        <f>ROUND($K$8*F18,2)</f>
        <v>1000.02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57</v>
      </c>
      <c r="E20" s="50"/>
      <c r="F20" s="168"/>
      <c r="G20" s="207" t="s">
        <v>76</v>
      </c>
      <c r="H20" s="121" t="s">
        <v>95</v>
      </c>
      <c r="I20" s="52">
        <f>ROUND((I8+I18)*2,2)</f>
        <v>7350.36</v>
      </c>
      <c r="J20" s="51" t="s">
        <v>95</v>
      </c>
      <c r="K20" s="122">
        <f>ROUND((K8+K18)*2,2)</f>
        <v>8684.64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98</v>
      </c>
      <c r="E22" s="64"/>
      <c r="F22" s="161"/>
      <c r="G22" s="209" t="s">
        <v>105</v>
      </c>
      <c r="H22" s="123"/>
      <c r="I22" s="66">
        <f>ROUND(((I8+I16)*12+I20)/12,2)</f>
        <v>4314.3</v>
      </c>
      <c r="J22" s="65"/>
      <c r="K22" s="124">
        <f>ROUND(((K8+K16)*12+K20)/12,2)</f>
        <v>5097.45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77</v>
      </c>
      <c r="H25" s="93"/>
      <c r="I25" s="75">
        <f>F25*2</f>
        <v>104</v>
      </c>
      <c r="J25" s="74"/>
      <c r="K25" s="94">
        <f>F25*2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3">
        <v>13</v>
      </c>
      <c r="G26" s="202"/>
      <c r="H26" s="93"/>
      <c r="I26" s="75">
        <f>F26</f>
        <v>13</v>
      </c>
      <c r="J26" s="74"/>
      <c r="K26" s="94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3"/>
      <c r="G27" s="202" t="s">
        <v>103</v>
      </c>
      <c r="H27" s="93"/>
      <c r="I27" s="76">
        <f>I24-I25-I26</f>
        <v>248</v>
      </c>
      <c r="J27" s="74"/>
      <c r="K27" s="95">
        <f>K24-K25-K26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132</v>
      </c>
      <c r="D29" s="28" t="s">
        <v>134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131</v>
      </c>
      <c r="D30" s="28" t="s">
        <v>133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14</v>
      </c>
      <c r="E31" s="29"/>
      <c r="F31" s="163"/>
      <c r="G31" s="202" t="s">
        <v>78</v>
      </c>
      <c r="H31" s="93"/>
      <c r="I31" s="76">
        <f>I27-I28-I29-I30</f>
        <v>210.5</v>
      </c>
      <c r="J31" s="74"/>
      <c r="K31" s="95">
        <f>K27-K28-K29-K30</f>
        <v>210.5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15</v>
      </c>
      <c r="C33" s="5">
        <v>21</v>
      </c>
      <c r="D33" s="32" t="s">
        <v>16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43</v>
      </c>
      <c r="E34" s="28"/>
      <c r="F34" s="162"/>
      <c r="G34" s="202" t="s">
        <v>79</v>
      </c>
      <c r="H34" s="93"/>
      <c r="I34" s="75">
        <f>ROUND(I31*I33,2)</f>
        <v>1684</v>
      </c>
      <c r="J34" s="74"/>
      <c r="K34" s="94">
        <f>ROUND(K31*K33,2)</f>
        <v>1684</v>
      </c>
    </row>
    <row r="35" spans="2:11" s="2" customFormat="1" ht="15.75" thickBot="1" x14ac:dyDescent="0.3">
      <c r="B35" s="3"/>
      <c r="C35" s="5">
        <v>23</v>
      </c>
      <c r="D35" s="28" t="s">
        <v>44</v>
      </c>
      <c r="E35" s="31"/>
      <c r="F35" s="157"/>
      <c r="G35" s="204" t="s">
        <v>80</v>
      </c>
      <c r="H35" s="125"/>
      <c r="I35" s="126">
        <f>ROUND(I34/12,2)</f>
        <v>140.33000000000001</v>
      </c>
      <c r="J35" s="127"/>
      <c r="K35" s="128">
        <f>ROUND(K31/K24*30.4167*8,2)</f>
        <v>140.33000000000001</v>
      </c>
    </row>
    <row r="36" spans="2:11" s="2" customFormat="1" ht="12.75" customHeight="1" thickBot="1" x14ac:dyDescent="0.3">
      <c r="B36" s="3"/>
      <c r="C36" s="5"/>
      <c r="D36" s="31"/>
      <c r="E36" s="12" t="s">
        <v>94</v>
      </c>
      <c r="F36" s="152" t="s">
        <v>63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17</v>
      </c>
      <c r="C37" s="5">
        <v>24</v>
      </c>
      <c r="D37" s="32" t="s">
        <v>64</v>
      </c>
      <c r="E37" s="131">
        <v>8</v>
      </c>
      <c r="F37" s="194">
        <v>8</v>
      </c>
      <c r="G37" s="203" t="s">
        <v>106</v>
      </c>
      <c r="H37" s="93"/>
      <c r="I37" s="75">
        <f t="shared" ref="I37:I43" si="0">ROUND(F37*$I$33,2)</f>
        <v>64</v>
      </c>
      <c r="J37" s="74"/>
      <c r="K37" s="94">
        <f t="shared" ref="K37:K43" si="1">ROUND(F37*$K$33,2)</f>
        <v>64</v>
      </c>
    </row>
    <row r="38" spans="2:11" s="2" customFormat="1" x14ac:dyDescent="0.25">
      <c r="B38" s="17" t="s">
        <v>42</v>
      </c>
      <c r="C38" s="5">
        <v>25</v>
      </c>
      <c r="D38" s="28" t="s">
        <v>18</v>
      </c>
      <c r="E38" s="30">
        <v>2</v>
      </c>
      <c r="F38" s="193">
        <v>2</v>
      </c>
      <c r="G38" s="203" t="s">
        <v>107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19</v>
      </c>
      <c r="E39" s="30">
        <v>2</v>
      </c>
      <c r="F39" s="193">
        <v>2</v>
      </c>
      <c r="G39" s="203" t="s">
        <v>108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20</v>
      </c>
      <c r="E40" s="30">
        <v>8</v>
      </c>
      <c r="F40" s="193">
        <v>8</v>
      </c>
      <c r="G40" s="203" t="s">
        <v>109</v>
      </c>
      <c r="H40" s="93"/>
      <c r="I40" s="75">
        <f t="shared" si="0"/>
        <v>64</v>
      </c>
      <c r="J40" s="74"/>
      <c r="K40" s="94">
        <f t="shared" si="1"/>
        <v>64</v>
      </c>
    </row>
    <row r="41" spans="2:11" s="2" customFormat="1" x14ac:dyDescent="0.25">
      <c r="B41" s="3"/>
      <c r="C41" s="5">
        <v>28</v>
      </c>
      <c r="D41" s="28" t="s">
        <v>113</v>
      </c>
      <c r="E41" s="30">
        <v>3</v>
      </c>
      <c r="F41" s="193">
        <v>3</v>
      </c>
      <c r="G41" s="203" t="s">
        <v>110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21</v>
      </c>
      <c r="E42" s="30">
        <v>5</v>
      </c>
      <c r="F42" s="193">
        <v>5</v>
      </c>
      <c r="G42" s="203" t="s">
        <v>111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25</v>
      </c>
      <c r="E43" s="30">
        <v>10</v>
      </c>
      <c r="F43" s="193">
        <v>10</v>
      </c>
      <c r="G43" s="203" t="s">
        <v>112</v>
      </c>
      <c r="H43" s="93"/>
      <c r="I43" s="75">
        <f t="shared" si="0"/>
        <v>80</v>
      </c>
      <c r="J43" s="74"/>
      <c r="K43" s="94">
        <f t="shared" si="1"/>
        <v>80</v>
      </c>
    </row>
    <row r="44" spans="2:11" s="2" customFormat="1" ht="15" x14ac:dyDescent="0.25">
      <c r="B44" s="3"/>
      <c r="C44" s="5">
        <v>31</v>
      </c>
      <c r="D44" s="28" t="s">
        <v>46</v>
      </c>
      <c r="E44" s="28"/>
      <c r="F44" s="156">
        <f>I44/I34</f>
        <v>0.18049999999999999</v>
      </c>
      <c r="G44" s="203" t="s">
        <v>92</v>
      </c>
      <c r="H44" s="93"/>
      <c r="I44" s="75">
        <f>ROUND(SUM(I37:I43),2)</f>
        <v>304</v>
      </c>
      <c r="J44" s="74"/>
      <c r="K44" s="94">
        <f>ROUND(SUM(K37:K43),2)</f>
        <v>304</v>
      </c>
    </row>
    <row r="45" spans="2:11" s="2" customFormat="1" ht="15" x14ac:dyDescent="0.25">
      <c r="B45" s="3"/>
      <c r="C45" s="5">
        <v>32</v>
      </c>
      <c r="D45" s="28" t="s">
        <v>47</v>
      </c>
      <c r="E45" s="28"/>
      <c r="F45" s="156">
        <f>F44</f>
        <v>0.18049999999999999</v>
      </c>
      <c r="G45" s="203" t="s">
        <v>104</v>
      </c>
      <c r="H45" s="93"/>
      <c r="I45" s="76">
        <f>ROUND(F45*I35,2)</f>
        <v>25.33</v>
      </c>
      <c r="J45" s="74"/>
      <c r="K45" s="95">
        <f>ROUND(F45*K35,2)</f>
        <v>25.33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22</v>
      </c>
      <c r="C47" s="5">
        <v>33</v>
      </c>
      <c r="D47" s="32" t="s">
        <v>23</v>
      </c>
      <c r="E47" s="32"/>
      <c r="F47" s="158"/>
      <c r="G47" s="210" t="s">
        <v>81</v>
      </c>
      <c r="H47" s="134"/>
      <c r="I47" s="135">
        <f>ROUND(I34-I44,2)</f>
        <v>1380</v>
      </c>
      <c r="J47" s="136"/>
      <c r="K47" s="140">
        <f>ROUND(K34-K44,2)</f>
        <v>1380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45</v>
      </c>
      <c r="E48" s="4"/>
      <c r="F48" s="159"/>
      <c r="G48" s="198" t="s">
        <v>82</v>
      </c>
      <c r="H48" s="91"/>
      <c r="I48" s="21">
        <f>ROUND(I35-I45,2)</f>
        <v>115</v>
      </c>
      <c r="J48" s="37"/>
      <c r="K48" s="96">
        <f>ROUND(K35-K45,2)</f>
        <v>115</v>
      </c>
    </row>
    <row r="49" spans="2:14" s="2" customFormat="1" ht="18.75" customHeight="1" x14ac:dyDescent="0.25">
      <c r="B49" s="187" t="s">
        <v>24</v>
      </c>
      <c r="C49" s="188">
        <v>35</v>
      </c>
      <c r="D49" s="189" t="s">
        <v>48</v>
      </c>
      <c r="E49" s="190"/>
      <c r="F49" s="191"/>
      <c r="G49" s="212" t="s">
        <v>83</v>
      </c>
      <c r="H49" s="110" t="s">
        <v>95</v>
      </c>
      <c r="I49" s="107">
        <f>ROUND(I22/I48,2)</f>
        <v>37.520000000000003</v>
      </c>
      <c r="J49" s="111" t="s">
        <v>95</v>
      </c>
      <c r="K49" s="109">
        <f>ROUND(K22/K48,2)</f>
        <v>44.33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49</v>
      </c>
      <c r="C52" s="84"/>
      <c r="D52" s="79"/>
      <c r="E52" s="79"/>
      <c r="F52" s="85"/>
      <c r="G52" s="227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26</v>
      </c>
      <c r="C54" s="8"/>
      <c r="D54" s="8" t="s">
        <v>0</v>
      </c>
      <c r="E54" s="7"/>
      <c r="F54" s="59"/>
      <c r="G54" s="228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27</v>
      </c>
      <c r="C55" s="4"/>
      <c r="D55" s="6"/>
      <c r="E55" s="12" t="s">
        <v>94</v>
      </c>
      <c r="F55" s="152" t="s">
        <v>62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96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33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28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29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30</v>
      </c>
      <c r="E60" s="24">
        <v>0.1</v>
      </c>
      <c r="F60" s="196">
        <v>0.03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58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31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34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35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36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32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37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115</v>
      </c>
      <c r="C68" s="4">
        <v>48</v>
      </c>
      <c r="D68" s="28" t="s">
        <v>116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50</v>
      </c>
      <c r="E69" s="54">
        <f>SUM(E56:E68)</f>
        <v>0.75</v>
      </c>
      <c r="F69" s="153">
        <f>SUM(F56:F68)</f>
        <v>0.68</v>
      </c>
      <c r="G69" s="213" t="s">
        <v>84</v>
      </c>
      <c r="H69" s="170" t="s">
        <v>95</v>
      </c>
      <c r="I69" s="56">
        <f>ROUND(F69*I49,2)</f>
        <v>25.51</v>
      </c>
      <c r="J69" s="55"/>
      <c r="K69" s="171">
        <f>ROUND(F69*K49,2)</f>
        <v>30.14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40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38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114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39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51</v>
      </c>
      <c r="E76" s="145">
        <f>SUM(E72:E75)</f>
        <v>0.14000000000000001</v>
      </c>
      <c r="F76" s="155">
        <f>SUM(F72:F75)</f>
        <v>0.14000000000000001</v>
      </c>
      <c r="G76" s="218" t="s">
        <v>85</v>
      </c>
      <c r="H76" s="146" t="s">
        <v>95</v>
      </c>
      <c r="I76" s="147">
        <f>ROUND(F76*I49,2)</f>
        <v>5.25</v>
      </c>
      <c r="J76" s="148"/>
      <c r="K76" s="149">
        <f>ROUND(F76*K49,2)</f>
        <v>6.21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52</v>
      </c>
      <c r="E78" s="145">
        <f>E76+E69</f>
        <v>0.89</v>
      </c>
      <c r="F78" s="155">
        <f>F76+F69</f>
        <v>0.82</v>
      </c>
      <c r="G78" s="218" t="s">
        <v>86</v>
      </c>
      <c r="H78" s="146" t="s">
        <v>95</v>
      </c>
      <c r="I78" s="147">
        <f>ROUND(F78*I49,2)</f>
        <v>30.77</v>
      </c>
      <c r="J78" s="148"/>
      <c r="K78" s="149">
        <f>ROUND(F78*K49,2)</f>
        <v>36.35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100</v>
      </c>
      <c r="C80" s="79"/>
      <c r="D80" s="80"/>
      <c r="E80" s="79"/>
      <c r="F80" s="169"/>
      <c r="G80" s="219" t="s">
        <v>87</v>
      </c>
      <c r="H80" s="102" t="s">
        <v>95</v>
      </c>
      <c r="I80" s="81">
        <f>I49+I78</f>
        <v>68.290000000000006</v>
      </c>
      <c r="J80" s="82"/>
      <c r="K80" s="103">
        <f>ROUND(K49+K78,2)</f>
        <v>80.680000000000007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59</v>
      </c>
      <c r="C82" s="190"/>
      <c r="D82" s="189"/>
      <c r="E82" s="190"/>
      <c r="F82" s="191"/>
      <c r="G82" s="212" t="s">
        <v>89</v>
      </c>
      <c r="H82" s="106" t="s">
        <v>95</v>
      </c>
      <c r="I82" s="107">
        <f>ROUND(I80*I48,2)</f>
        <v>7853.35</v>
      </c>
      <c r="J82" s="224"/>
      <c r="K82" s="109">
        <f>ROUND(K80*K48,2)</f>
        <v>9278.2000000000007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60</v>
      </c>
      <c r="C84" s="26"/>
      <c r="D84" s="27"/>
      <c r="E84" s="26"/>
      <c r="F84" s="160"/>
      <c r="G84" s="220" t="s">
        <v>88</v>
      </c>
      <c r="H84" s="104" t="s">
        <v>95</v>
      </c>
      <c r="I84" s="97">
        <f>ROUND(I80*I47,2)</f>
        <v>94240.2</v>
      </c>
      <c r="J84" s="226"/>
      <c r="K84" s="98">
        <f>ROUND(K80*K47,2)</f>
        <v>111338.4</v>
      </c>
    </row>
    <row r="86" spans="2:11" ht="3.75" customHeight="1" x14ac:dyDescent="0.2"/>
    <row r="87" spans="2:11" x14ac:dyDescent="0.2">
      <c r="B87" s="221" t="s">
        <v>139</v>
      </c>
      <c r="D87" s="221" t="s">
        <v>140</v>
      </c>
      <c r="E87" s="33" t="s">
        <v>90</v>
      </c>
      <c r="F87" s="73"/>
      <c r="G87" s="33" t="s">
        <v>126</v>
      </c>
    </row>
    <row r="88" spans="2:11" ht="3" customHeight="1" x14ac:dyDescent="0.2">
      <c r="E88" s="33"/>
    </row>
    <row r="89" spans="2:11" ht="36.75" customHeight="1" x14ac:dyDescent="0.2">
      <c r="B89" s="235" t="s">
        <v>135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sheetProtection password="D2DC" sheet="1" objects="1" scenarios="1"/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0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KAT A1</vt:lpstr>
      <vt:lpstr>KAT A2</vt:lpstr>
      <vt:lpstr>KAT B+B1</vt:lpstr>
      <vt:lpstr>KAT_B2</vt:lpstr>
      <vt:lpstr>KAT C</vt:lpstr>
      <vt:lpstr>'KAT A1'!Druckbereich</vt:lpstr>
      <vt:lpstr>'KAT A2'!Druckbereich</vt:lpstr>
      <vt:lpstr>'KAT B+B1'!Druckbereich</vt:lpstr>
      <vt:lpstr>'KAT C'!Druckbereich</vt:lpstr>
      <vt:lpstr>KAT_B2!Druckbereich</vt:lpstr>
    </vt:vector>
  </TitlesOfParts>
  <Company>Tu Graz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Brauneis Helmut</cp:lastModifiedBy>
  <cp:lastPrinted>2018-12-10T12:45:09Z</cp:lastPrinted>
  <dcterms:created xsi:type="dcterms:W3CDTF">2012-01-25T12:08:23Z</dcterms:created>
  <dcterms:modified xsi:type="dcterms:W3CDTF">2020-02-13T11:03:12Z</dcterms:modified>
</cp:coreProperties>
</file>