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60" windowWidth="12525" windowHeight="10455" tabRatio="914" activeTab="0"/>
  </bookViews>
  <sheets>
    <sheet name="Summenblatt" sheetId="1" r:id="rId1"/>
    <sheet name="GP2b Mgt. NEU" sheetId="2" r:id="rId2"/>
    <sheet name="BauKG" sheetId="3" r:id="rId3"/>
    <sheet name="Objektplanung Architektur" sheetId="4" r:id="rId4"/>
    <sheet name="ED zusammen" sheetId="5" r:id="rId5"/>
    <sheet name="Freianlagen" sheetId="6" r:id="rId6"/>
    <sheet name="Tragwerksplanung" sheetId="7" r:id="rId7"/>
    <sheet name="BPH-Thermisch" sheetId="8" r:id="rId8"/>
    <sheet name="BPH-Schallschutz" sheetId="9" r:id="rId9"/>
    <sheet name="BPH-Raumakustik" sheetId="10" r:id="rId10"/>
    <sheet name="TA_HKLS" sheetId="11" r:id="rId11"/>
    <sheet name="TA_E" sheetId="12" r:id="rId12"/>
    <sheet name="TA_FöTe" sheetId="13" r:id="rId13"/>
    <sheet name="TA_GA" sheetId="14" r:id="rId14"/>
    <sheet name="Brand" sheetId="15" r:id="rId15"/>
    <sheet name="Brand AHO" sheetId="16" r:id="rId16"/>
  </sheets>
  <definedNames>
    <definedName name="_1">'Summenblatt'!$K$7</definedName>
    <definedName name="_1_9" comment="KB 1-9 = Errichtungskosten">'Summenblatt'!$K$38</definedName>
    <definedName name="_2">'Summenblatt'!$K$9</definedName>
    <definedName name="_3">'Summenblatt'!$K$11</definedName>
    <definedName name="_3.01">'Summenblatt'!$K$12</definedName>
    <definedName name="_3.02">'Summenblatt'!$K$13</definedName>
    <definedName name="_3.03">'Summenblatt'!$K$14</definedName>
    <definedName name="_3.04">'Summenblatt'!$K$15</definedName>
    <definedName name="_3.05">'Summenblatt'!$K$16</definedName>
    <definedName name="_3.06">'Summenblatt'!$K$17</definedName>
    <definedName name="_3.07">'Summenblatt'!$K$18</definedName>
    <definedName name="_3.08">'Summenblatt'!$K$19</definedName>
    <definedName name="_4">'Summenblatt'!$K$21</definedName>
    <definedName name="_5">'Summenblatt'!$K$23</definedName>
    <definedName name="_5.01">'Summenblatt'!$K$24</definedName>
    <definedName name="_5.02">'Summenblatt'!$K$25</definedName>
    <definedName name="_5.03">'Summenblatt'!$K$26</definedName>
    <definedName name="_6">'Summenblatt'!$K$28</definedName>
    <definedName name="_7">'Summenblatt'!$K$30</definedName>
    <definedName name="_8">'Summenblatt'!$K$32</definedName>
    <definedName name="_9">'Summenblatt'!$K$34</definedName>
    <definedName name="_Brand" comment="Brandschutz">'Brand'!$I$29</definedName>
    <definedName name="_Brand_AHO" comment="Brandschutz nach AHO">'Brand AHO'!$L$92</definedName>
    <definedName name="_EK">'Summenblatt'!$K$38</definedName>
    <definedName name="_mvB" comment="mitzuverarbeitende Bausubstanz">'Summenblatt'!$G$43</definedName>
    <definedName name="Brand_ohne_NK" comment="Brandschutz ohne Nebenkosten">'Brand'!$I$24</definedName>
    <definedName name="_xlnm.Print_Area" localSheetId="2">'BauKG'!$A$1:$J$81</definedName>
    <definedName name="_xlnm.Print_Area" localSheetId="9">'BPH-Raumakustik'!$A$1:$J$92</definedName>
    <definedName name="_xlnm.Print_Area" localSheetId="8">'BPH-Schallschutz'!$A$1:$J$90</definedName>
    <definedName name="_xlnm.Print_Area" localSheetId="7">'BPH-Thermisch'!$A$1:$J$90</definedName>
    <definedName name="_xlnm.Print_Area" localSheetId="14">'Brand'!$A$1:$J$33</definedName>
    <definedName name="_xlnm.Print_Area" localSheetId="15">'Brand AHO'!$A$1:$N$102</definedName>
    <definedName name="_xlnm.Print_Area" localSheetId="4">'ED zusammen'!$A$1:$J$86</definedName>
    <definedName name="_xlnm.Print_Area" localSheetId="5">'Freianlagen'!$A$1:$J$84</definedName>
    <definedName name="_xlnm.Print_Area" localSheetId="1">'GP2b Mgt. NEU'!$A$1:$J$93</definedName>
    <definedName name="_xlnm.Print_Area" localSheetId="3">'Objektplanung Architektur'!$A$1:$M$97</definedName>
    <definedName name="_xlnm.Print_Area" localSheetId="0">'Summenblatt'!$A$1:$K$100</definedName>
    <definedName name="_xlnm.Print_Area" localSheetId="11">'TA_E'!$A$1:$J$93</definedName>
    <definedName name="_xlnm.Print_Area" localSheetId="12">'TA_FöTe'!$A$1:$J$93</definedName>
    <definedName name="_xlnm.Print_Area" localSheetId="13">'TA_GA'!$A$1:$J$93</definedName>
    <definedName name="_xlnm.Print_Area" localSheetId="10">'TA_HKLS'!$A$1:$J$93</definedName>
    <definedName name="_xlnm.Print_Area" localSheetId="6">'Tragwerksplanung'!$A$1:$J$90</definedName>
    <definedName name="_xlnm.Print_Titles" localSheetId="2">'BauKG'!$A:$D,'BauKG'!$3:$3</definedName>
    <definedName name="_xlnm.Print_Titles" localSheetId="9">'BPH-Raumakustik'!$A:$D,'BPH-Raumakustik'!$3:$3</definedName>
    <definedName name="_xlnm.Print_Titles" localSheetId="8">'BPH-Schallschutz'!$A:$D,'BPH-Schallschutz'!$3:$3</definedName>
    <definedName name="_xlnm.Print_Titles" localSheetId="7">'BPH-Thermisch'!$A:$D,'BPH-Thermisch'!$3:$3</definedName>
    <definedName name="_xlnm.Print_Titles" localSheetId="15">'Brand AHO'!$A:$D,'Brand AHO'!$8:$8</definedName>
    <definedName name="_xlnm.Print_Titles" localSheetId="4">'ED zusammen'!$A:$D,'ED zusammen'!$3:$3</definedName>
    <definedName name="_xlnm.Print_Titles" localSheetId="5">'Freianlagen'!$A:$D,'Freianlagen'!$3:$3</definedName>
    <definedName name="_xlnm.Print_Titles" localSheetId="1">'GP2b Mgt. NEU'!$A:$D,'GP2b Mgt. NEU'!$3:$3</definedName>
    <definedName name="_xlnm.Print_Titles" localSheetId="3">'Objektplanung Architektur'!$A:$D,'Objektplanung Architektur'!$3:$3</definedName>
    <definedName name="_xlnm.Print_Titles" localSheetId="0">'Summenblatt'!$A:$C,'Summenblatt'!$46:$46</definedName>
    <definedName name="_xlnm.Print_Titles" localSheetId="11">'TA_E'!$A:$D,'TA_E'!$3:$3</definedName>
    <definedName name="_xlnm.Print_Titles" localSheetId="12">'TA_FöTe'!$A:$D,'TA_FöTe'!$3:$3</definedName>
    <definedName name="_xlnm.Print_Titles" localSheetId="13">'TA_GA'!$A:$D,'TA_GA'!$3:$3</definedName>
    <definedName name="_xlnm.Print_Titles" localSheetId="10">'TA_HKLS'!$A:$D,'TA_HKLS'!$3:$3</definedName>
    <definedName name="_xlnm.Print_Titles" localSheetId="6">'Tragwerksplanung'!$A:$D,'Tragwerksplanung'!$3:$3</definedName>
  </definedNames>
  <calcPr fullCalcOnLoad="1" fullPrecision="0"/>
</workbook>
</file>

<file path=xl/sharedStrings.xml><?xml version="1.0" encoding="utf-8"?>
<sst xmlns="http://schemas.openxmlformats.org/spreadsheetml/2006/main" count="1195" uniqueCount="330">
  <si>
    <t>AUFSCHLIESSUNG</t>
  </si>
  <si>
    <t>BAUWERK – ROHBAU</t>
  </si>
  <si>
    <t>BAUWERK – AUSBAU</t>
  </si>
  <si>
    <t>AUSSENANLAGEN</t>
  </si>
  <si>
    <t>mögl Punkte</t>
  </si>
  <si>
    <t>gewählt</t>
  </si>
  <si>
    <t>1 bis 5</t>
  </si>
  <si>
    <t>BAUWERK – TECHNIK</t>
  </si>
  <si>
    <t>Gebäudeautomation</t>
  </si>
  <si>
    <t>EINRICHTUNG</t>
  </si>
  <si>
    <t>RESERVEN</t>
  </si>
  <si>
    <t>Bemessungsgrundlage:</t>
  </si>
  <si>
    <t>ERRICHTUNGSKOSTEN</t>
  </si>
  <si>
    <t>zzgl. Nebenkosten</t>
  </si>
  <si>
    <t>zzgl. MWSt.</t>
  </si>
  <si>
    <t>ev. Zusatzpunkte</t>
  </si>
  <si>
    <t>Vergütungsermittlung</t>
  </si>
  <si>
    <t>BMGL %</t>
  </si>
  <si>
    <t>.01</t>
  </si>
  <si>
    <t>Abwasser-, Wasser-, Gasanlagen</t>
  </si>
  <si>
    <t>.02</t>
  </si>
  <si>
    <t>.03</t>
  </si>
  <si>
    <t>.04</t>
  </si>
  <si>
    <t>.05</t>
  </si>
  <si>
    <t>.06</t>
  </si>
  <si>
    <t>.07</t>
  </si>
  <si>
    <t>.08</t>
  </si>
  <si>
    <t>Wärme- und Kälteversorgungsanlagen</t>
  </si>
  <si>
    <t>Lufttechnische Anlagen</t>
  </si>
  <si>
    <t>Starkstrom - Elektroanlagen</t>
  </si>
  <si>
    <t>Fördertechnische Anlagen</t>
  </si>
  <si>
    <t>Nutzungsspezifische Anlagen</t>
  </si>
  <si>
    <t>Fernmelde-, IT- und Sicherheitsanlagen</t>
  </si>
  <si>
    <t>BEMESSUNGSGRUNDLAGE</t>
  </si>
  <si>
    <t>1 bis 25</t>
  </si>
  <si>
    <t>LPH 1 Organisationsaufbau</t>
  </si>
  <si>
    <t>LPH 2 Vorentwurfsplanung</t>
  </si>
  <si>
    <t>LPH 3 Entwurfsplanung</t>
  </si>
  <si>
    <t>LPH 4 Einreichplanung</t>
  </si>
  <si>
    <t>LPH 5 Ausführungsplanung</t>
  </si>
  <si>
    <t>LPH 6 Ausschreibung</t>
  </si>
  <si>
    <t xml:space="preserve">           Mitwirkung an der Vergabe</t>
  </si>
  <si>
    <t>LPH 7 Begleitung der Bauausführung (KOL)</t>
  </si>
  <si>
    <t>LPH 8 Örtliche Bauaufsicht, Dokumentation</t>
  </si>
  <si>
    <t>LPH 9 Projektabschluss</t>
  </si>
  <si>
    <r>
      <t>Prozentsatz der beauftragten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</si>
  <si>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Summe der Bewertungspunkte [b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]</t>
    </r>
  </si>
  <si>
    <t>(A) Vielfalt der Besonderheiten in den Projektinhalten</t>
  </si>
  <si>
    <t>(B) Komplexität der Projektorganisation</t>
  </si>
  <si>
    <t>(C) Risiko bei der Projektrealisierung</t>
  </si>
  <si>
    <t>(D) Termin und Kostenanforderungen</t>
  </si>
  <si>
    <t>Errichtungskosten in €</t>
  </si>
  <si>
    <t>BMGL in €</t>
  </si>
  <si>
    <t>Nutzungsspezifische Ausstattung</t>
  </si>
  <si>
    <t>LPH 1 Grundlagenermittlung</t>
  </si>
  <si>
    <t>LPH 7 Begleitung der Bauausführung</t>
  </si>
  <si>
    <t>LPH 9 Objektbetreuung</t>
  </si>
  <si>
    <t>wenn KGR 3 &gt; 50% von KGR 2+KGR 4</t>
  </si>
  <si>
    <t>wenn KGR 3 &lt; 50% von KGR 2+KGR 4</t>
  </si>
  <si>
    <r>
      <rPr>
        <i/>
        <sz val="7"/>
        <color indexed="8"/>
        <rFont val="Calibri"/>
        <family val="2"/>
      </rPr>
      <t>→</t>
    </r>
    <r>
      <rPr>
        <i/>
        <sz val="7"/>
        <color indexed="8"/>
        <rFont val="Arial"/>
        <family val="2"/>
      </rPr>
      <t xml:space="preserve"> Abminderung BMGL KGR 3</t>
    </r>
  </si>
  <si>
    <t>6 bis 14</t>
  </si>
  <si>
    <t>1 bis 3</t>
  </si>
  <si>
    <t>6 bis 42</t>
  </si>
  <si>
    <t>Basis b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</si>
  <si>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0,044 x b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+ 0,66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]</t>
    </r>
  </si>
  <si>
    <t xml:space="preserve">          Mitwirkung an der Vergabe</t>
  </si>
  <si>
    <r>
      <t>%-Satz für FA [h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= b / BMGL x 100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</si>
  <si>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Freianlagen nach VM.FA.2014</t>
  </si>
  <si>
    <t xml:space="preserve">Objektplanung Architektur nach VM.OA.2014 </t>
  </si>
  <si>
    <t>Tragwerksplanung nach VM.TW.2014</t>
  </si>
  <si>
    <t>8 bis 42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</si>
  <si>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0,0425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+ 0,83]</t>
    </r>
  </si>
  <si>
    <r>
      <t>%-Satz für TW [h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= 37,056 x (BMGL)</t>
    </r>
    <r>
      <rPr>
        <vertAlign val="superscript"/>
        <sz val="10"/>
        <rFont val="Arial"/>
        <family val="2"/>
      </rPr>
      <t>(-0,1495)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</si>
  <si>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Thermische Bauphysik nach VM.BP.2014</t>
  </si>
  <si>
    <r>
      <t>Faktor aus Bewertungspunkten [f</t>
    </r>
    <r>
      <rPr>
        <vertAlign val="subscript"/>
        <sz val="10"/>
        <rFont val="Arial"/>
        <family val="2"/>
      </rPr>
      <t>bwT</t>
    </r>
    <r>
      <rPr>
        <sz val="10"/>
        <rFont val="Arial"/>
        <family val="2"/>
      </rPr>
      <t xml:space="preserve"> = 0,021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+ 0,761]</t>
    </r>
  </si>
  <si>
    <t xml:space="preserve">LPH 5 Ausführungsplanung </t>
  </si>
  <si>
    <t>LPH 8 Örtliche Bauaufsicht</t>
  </si>
  <si>
    <r>
      <t>%-Satz für BPT [h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= 110,07 x (BMGL)</t>
    </r>
    <r>
      <rPr>
        <vertAlign val="superscript"/>
        <sz val="10"/>
        <rFont val="Arial"/>
        <family val="2"/>
      </rPr>
      <t>(-0,41731)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</si>
  <si>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Faktor aus Bewertungspunkten [f</t>
    </r>
    <r>
      <rPr>
        <vertAlign val="subscript"/>
        <sz val="10"/>
        <rFont val="Arial"/>
        <family val="2"/>
      </rPr>
      <t>bwS</t>
    </r>
    <r>
      <rPr>
        <sz val="10"/>
        <rFont val="Arial"/>
        <family val="2"/>
      </rPr>
      <t xml:space="preserve"> = 0,013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+ 0,923]</t>
    </r>
  </si>
  <si>
    <r>
      <t>%-Satz für BPS [h</t>
    </r>
    <r>
      <rPr>
        <vertAlign val="subscript"/>
        <sz val="10"/>
        <rFont val="Arial"/>
        <family val="2"/>
      </rPr>
      <t>BPS</t>
    </r>
    <r>
      <rPr>
        <sz val="10"/>
        <rFont val="Arial"/>
        <family val="2"/>
      </rPr>
      <t xml:space="preserve"> = 506,2538 x (BMGL)</t>
    </r>
    <r>
      <rPr>
        <vertAlign val="superscript"/>
        <sz val="10"/>
        <rFont val="Arial"/>
        <family val="2"/>
      </rPr>
      <t>(-0,5074)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</si>
  <si>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Bauphysik Schallschutz nach VM.BP.2014</t>
  </si>
  <si>
    <t>Bauphysik Raumakustik nach VM.BP.2014</t>
  </si>
  <si>
    <r>
      <t>Faktor aus Bewertungspunkten [f</t>
    </r>
    <r>
      <rPr>
        <vertAlign val="subscript"/>
        <sz val="10"/>
        <rFont val="Arial"/>
        <family val="2"/>
      </rPr>
      <t>bwA</t>
    </r>
    <r>
      <rPr>
        <sz val="10"/>
        <rFont val="Arial"/>
        <family val="2"/>
      </rPr>
      <t xml:space="preserve"> = 0,057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+ 0,367]</t>
    </r>
  </si>
  <si>
    <r>
      <t>%-Satz für BPA [h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= 439,8031 x (BMGL)</t>
    </r>
    <r>
      <rPr>
        <vertAlign val="superscript"/>
        <sz val="10"/>
        <rFont val="Arial"/>
        <family val="2"/>
      </rPr>
      <t>(-0,4760)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</si>
  <si>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Bemessungsgrundlage gesamt: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</si>
  <si>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0,03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+ 0,73]</t>
    </r>
  </si>
  <si>
    <t>LPH 8 Fachbauaufsicht + Dokumentation</t>
  </si>
  <si>
    <t xml:space="preserve">%-Satz für TA </t>
  </si>
  <si>
    <t>ERK %</t>
  </si>
  <si>
    <t>Anforderungsmerkmale/Bewertungspunkte</t>
  </si>
  <si>
    <t>KGR 2 + KGR 4 =</t>
  </si>
  <si>
    <t xml:space="preserve">50% =    </t>
  </si>
  <si>
    <r>
      <rPr>
        <i/>
        <sz val="7"/>
        <color indexed="8"/>
        <rFont val="Calibri"/>
        <family val="2"/>
      </rPr>
      <t>→</t>
    </r>
    <r>
      <rPr>
        <i/>
        <sz val="9.1"/>
        <color indexed="8"/>
        <rFont val="Arial"/>
        <family val="2"/>
      </rPr>
      <t xml:space="preserve"> </t>
    </r>
    <r>
      <rPr>
        <i/>
        <sz val="7"/>
        <color indexed="8"/>
        <rFont val="Arial"/>
        <family val="2"/>
      </rPr>
      <t>KGR 3 fließt zu 100% in BMGL ein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</si>
  <si>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0,0198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+ 0,9406]</t>
    </r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</si>
  <si>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= 0,0214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+ 0,9143]</t>
    </r>
  </si>
  <si>
    <r>
      <t>&lt;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40,00 x (BMGL)</t>
    </r>
    <r>
      <rPr>
        <vertAlign val="superscript"/>
        <sz val="10"/>
        <rFont val="Arial"/>
        <family val="2"/>
      </rPr>
      <t>(-0,1208)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</si>
  <si>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= 12,2611 x (BMGL)</t>
    </r>
    <r>
      <rPr>
        <vertAlign val="superscript"/>
        <sz val="10"/>
        <rFont val="Arial"/>
        <family val="2"/>
      </rPr>
      <t>(-0,0394)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</si>
  <si>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t>Vergütung VOA = BMGL x h</t>
    </r>
    <r>
      <rPr>
        <vertAlign val="subscript"/>
        <sz val="10"/>
        <rFont val="Arial"/>
        <family val="2"/>
      </rPr>
      <t>OA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</si>
  <si>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t>selbstständiger Auftrag</t>
  </si>
  <si>
    <t>in Zusammenhang mit baulichen Planungsleistungen</t>
  </si>
  <si>
    <r>
      <t>Vergütung VED = BMGL x h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LPH</t>
    </r>
  </si>
  <si>
    <r>
      <t>&lt;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202,00 x (BMGL)</t>
    </r>
    <r>
      <rPr>
        <vertAlign val="superscript"/>
        <sz val="10"/>
        <rFont val="Arial"/>
        <family val="2"/>
      </rPr>
      <t>(-0,2248)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</si>
  <si>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2 Mio: [h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= 37,8 x (BMGL)</t>
    </r>
    <r>
      <rPr>
        <vertAlign val="superscript"/>
        <sz val="10"/>
        <rFont val="Arial"/>
        <family val="2"/>
      </rPr>
      <t>(-0,109)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</si>
  <si>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 xml:space="preserve">               </t>
  </si>
  <si>
    <r>
      <rPr>
        <b/>
        <sz val="8"/>
        <color indexed="8"/>
        <rFont val="Arial"/>
        <family val="2"/>
      </rPr>
      <t>Objektplanung Architekt</t>
    </r>
    <r>
      <rPr>
        <sz val="8"/>
        <color indexed="8"/>
        <rFont val="Arial"/>
        <family val="2"/>
      </rPr>
      <t xml:space="preserve">                             nach VM.OA.2014</t>
    </r>
  </si>
  <si>
    <t xml:space="preserve">Einrichtungsplanung-Design nach VM.ED.2014 </t>
  </si>
  <si>
    <r>
      <rPr>
        <b/>
        <sz val="8"/>
        <color indexed="8"/>
        <rFont val="Arial"/>
        <family val="2"/>
      </rPr>
      <t>Einrichtung-Design</t>
    </r>
    <r>
      <rPr>
        <sz val="8"/>
        <color indexed="8"/>
        <rFont val="Arial"/>
        <family val="2"/>
      </rPr>
      <t xml:space="preserve">                             nach VM.ED.2014</t>
    </r>
  </si>
  <si>
    <r>
      <rPr>
        <b/>
        <sz val="8"/>
        <color indexed="8"/>
        <rFont val="Arial"/>
        <family val="2"/>
      </rPr>
      <t>Tragwerksplanung</t>
    </r>
    <r>
      <rPr>
        <sz val="8"/>
        <color indexed="8"/>
        <rFont val="Arial"/>
        <family val="2"/>
      </rPr>
      <t xml:space="preserve">                             nach VM.TW.2014</t>
    </r>
  </si>
  <si>
    <r>
      <rPr>
        <b/>
        <sz val="8"/>
        <color indexed="8"/>
        <rFont val="Arial"/>
        <family val="2"/>
      </rPr>
      <t xml:space="preserve">Thermische Bauphysik 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</si>
  <si>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Schallschutz</t>
    </r>
    <r>
      <rPr>
        <sz val="8"/>
        <color indexed="8"/>
        <rFont val="Arial"/>
        <family val="2"/>
      </rPr>
      <t xml:space="preserve">                            nach VM.BP.2014</t>
    </r>
  </si>
  <si>
    <r>
      <rPr>
        <b/>
        <sz val="8"/>
        <color indexed="8"/>
        <rFont val="Arial"/>
        <family val="2"/>
      </rPr>
      <t>Bauphysik Raumakustik</t>
    </r>
    <r>
      <rPr>
        <sz val="8"/>
        <color indexed="8"/>
        <rFont val="Arial"/>
        <family val="2"/>
      </rPr>
      <t xml:space="preserve">                            nachVM.BP.2014</t>
    </r>
  </si>
  <si>
    <r>
      <rPr>
        <b/>
        <sz val="8"/>
        <color indexed="8"/>
        <rFont val="Arial"/>
        <family val="2"/>
      </rPr>
      <t>Technische Ausrüstung</t>
    </r>
    <r>
      <rPr>
        <sz val="8"/>
        <color indexed="8"/>
        <rFont val="Arial"/>
        <family val="2"/>
      </rPr>
      <t xml:space="preserve">                             nach VM.TA.2014</t>
    </r>
  </si>
  <si>
    <t>%-Satz für OA (Planung + ÖBA)</t>
  </si>
  <si>
    <t>Zusammenstellung der Planungsleistungen</t>
  </si>
  <si>
    <r>
      <rPr>
        <b/>
        <sz val="8"/>
        <color indexed="8"/>
        <rFont val="Arial"/>
        <family val="2"/>
      </rPr>
      <t>Planungs- und Baukoordination</t>
    </r>
    <r>
      <rPr>
        <sz val="8"/>
        <color indexed="8"/>
        <rFont val="Arial"/>
        <family val="2"/>
      </rPr>
      <t xml:space="preserve">                             nach VM.BKG.2014</t>
    </r>
  </si>
  <si>
    <t xml:space="preserve">BauKG nach VM.BKG.2014 </t>
  </si>
  <si>
    <r>
      <t>Faktor aus Bewertungspunkten [f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 xml:space="preserve"> = 0,02 x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+ 0,92]</t>
    </r>
  </si>
  <si>
    <r>
      <t>%-Satz für BKG 2.b, 2.c [h</t>
    </r>
    <r>
      <rPr>
        <vertAlign val="subscript"/>
        <sz val="10"/>
        <rFont val="Arial"/>
        <family val="2"/>
      </rPr>
      <t>BKG</t>
    </r>
    <r>
      <rPr>
        <sz val="10"/>
        <rFont val="Arial"/>
        <family val="2"/>
      </rPr>
      <t xml:space="preserve"> = (4,60 x (BMGL)</t>
    </r>
    <r>
      <rPr>
        <vertAlign val="superscript"/>
        <sz val="10"/>
        <rFont val="Arial"/>
        <family val="2"/>
      </rPr>
      <t>(-0,15)</t>
    </r>
    <r>
      <rPr>
        <sz val="10"/>
        <rFont val="Arial"/>
        <family val="2"/>
      </rPr>
      <t xml:space="preserve">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</si>
  <si>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t>LPH 8 Baustellenkoordination</t>
  </si>
  <si>
    <t>Kosten nach ÖNORM B1801-1</t>
  </si>
  <si>
    <t>Generalplaner Management 2.b nach VM.GP.2014</t>
  </si>
  <si>
    <t>Zuschlag für Ausfallskosten bei Insolvenzen</t>
  </si>
  <si>
    <t>ERK in €</t>
  </si>
  <si>
    <t>%-Anteil ERK</t>
  </si>
  <si>
    <r>
      <rPr>
        <b/>
        <sz val="8"/>
        <color indexed="8"/>
        <rFont val="Arial"/>
        <family val="2"/>
      </rPr>
      <t xml:space="preserve">Freianlagen 
</t>
    </r>
    <r>
      <rPr>
        <sz val="8"/>
        <color indexed="8"/>
        <rFont val="Arial"/>
        <family val="2"/>
      </rPr>
      <t>nach VM.FA.2014</t>
    </r>
  </si>
  <si>
    <r>
      <t xml:space="preserve">Zuschlag für Versicherung </t>
    </r>
    <r>
      <rPr>
        <sz val="10"/>
        <color indexed="23"/>
        <rFont val="Arial"/>
        <family val="2"/>
      </rPr>
      <t>(max. Höhe d. Versicherungsleistung:</t>
    </r>
  </si>
  <si>
    <t>3,0 Mio. 2 x p.a.)</t>
  </si>
  <si>
    <r>
      <t xml:space="preserve">NEBENKOSTEN </t>
    </r>
    <r>
      <rPr>
        <sz val="9"/>
        <rFont val="Arial"/>
        <family val="2"/>
      </rPr>
      <t>(Bewilligungen, Anschlussgebühren, …)</t>
    </r>
  </si>
  <si>
    <t>LPH 1 Grundlagenanalyse</t>
  </si>
  <si>
    <t>LPH 5 Ausführungsplanung + Dokumentation</t>
  </si>
  <si>
    <t>LPH 6 Mitwirkung an Ausschreibung</t>
  </si>
  <si>
    <t>LPH 8 Bewehrungsabnahmen, Betonprüfung</t>
  </si>
  <si>
    <t>LPH 9 -</t>
  </si>
  <si>
    <t xml:space="preserve">LPH 7 Begleitung der Bauausführung </t>
  </si>
  <si>
    <t>%-Anteil BWK</t>
  </si>
  <si>
    <r>
      <t xml:space="preserve">NEBENKOSTEN </t>
    </r>
    <r>
      <rPr>
        <sz val="9"/>
        <color indexed="8"/>
        <rFont val="Arial"/>
        <family val="2"/>
      </rPr>
      <t>(Bewilligungen, Anschl.gebühren, …)</t>
    </r>
  </si>
  <si>
    <t>Prozentanteil an Errichtungskosten (netto, inkl. NK)</t>
  </si>
  <si>
    <t>Ermittlung Bemessungsgrundlage (BMGL)</t>
  </si>
  <si>
    <t>(PL + ÖBA)</t>
  </si>
  <si>
    <t xml:space="preserve">Bruttorauminhalt (BRI) gesamt: </t>
  </si>
  <si>
    <t>Bruttorauminhalt (BRI) betrachteter Raum:</t>
  </si>
  <si>
    <r>
      <t xml:space="preserve">PLANUNGSLEISTUNGEN </t>
    </r>
    <r>
      <rPr>
        <sz val="9"/>
        <color indexed="8"/>
        <rFont val="Arial"/>
        <family val="2"/>
      </rPr>
      <t>(ohne PL, PS, BK)</t>
    </r>
  </si>
  <si>
    <t>Zuschlag für Haftungsrisiken (Wagnis)</t>
  </si>
  <si>
    <r>
      <t>PLANUNGSLEISTUNGEN</t>
    </r>
    <r>
      <rPr>
        <sz val="10"/>
        <color indexed="8"/>
        <rFont val="Arial"/>
        <family val="2"/>
      </rPr>
      <t xml:space="preserve"> (GP)</t>
    </r>
  </si>
  <si>
    <t>Summe Generalplaner  gesamt (GP 2b + PL + ÖBA) netto inkl. NK</t>
  </si>
  <si>
    <t>Summe Generalplaner  gesamt (GP 2b + PL + ÖBA) netto inkl. NK, Zuschläge</t>
  </si>
  <si>
    <t xml:space="preserve">Summe Generalplaner  gesamt (GP 2b + PL + ÖBA) brutto </t>
  </si>
  <si>
    <t>Summe Teil Generalplaner Mangement ohne Nebenkosten</t>
  </si>
  <si>
    <t>Summe Teil Generalplaner Management netto inkl. NK</t>
  </si>
  <si>
    <t xml:space="preserve">Summe Teil Generalplaner Management brutto </t>
  </si>
  <si>
    <t>Summe Teil Objektplanung Architekt ohne Nebenkosten</t>
  </si>
  <si>
    <t>Summe Teil Objektplanung Architekt netto inkl. NK</t>
  </si>
  <si>
    <t>Summe Teil Objektplanung Architekt brutto</t>
  </si>
  <si>
    <t xml:space="preserve">Summe Teil Einrichtungsplanung-Design brutto </t>
  </si>
  <si>
    <t>Summe Teil Einrichtungsplanung-Design netto inkl. NK</t>
  </si>
  <si>
    <t>Summe Teil Einrichtungsplanung-Design ohne Nebenkosten</t>
  </si>
  <si>
    <t>Summe Teil Freianlagen ohne Nebenkosten</t>
  </si>
  <si>
    <t>Summe Teil Freianlagen netto inkl. NK</t>
  </si>
  <si>
    <t xml:space="preserve">Summe Teil Freianlagen brutto </t>
  </si>
  <si>
    <t>Summe Teil Tragwerksplanung ohne Nebenkosten</t>
  </si>
  <si>
    <t>Summe Teil Tragwerksplanung netto inkl. NK</t>
  </si>
  <si>
    <t xml:space="preserve">Summe Teil Tragwerksplanung brutto </t>
  </si>
  <si>
    <t>Summe Teil Thermische Bauphysik ohne Nebenkosten</t>
  </si>
  <si>
    <t>Summe Teil Thermische Bauphysik netto inkl. NK</t>
  </si>
  <si>
    <t xml:space="preserve">Summe Teil Thermische Bauphysik brutto </t>
  </si>
  <si>
    <t>Summe Teil Bauphysik Schallschutz ohne Nebenkosten</t>
  </si>
  <si>
    <t>Summe Teil Bauphysik Schallschutz netto inkl. NK</t>
  </si>
  <si>
    <t xml:space="preserve">Summe Teil Bauphysik Schallschutz brutto </t>
  </si>
  <si>
    <t>Summe Teil Bauphysik Raumakustik ohne Nebenkosten</t>
  </si>
  <si>
    <t>Summe Teil Bauphysik Raumakustik netto inkl. NK</t>
  </si>
  <si>
    <t xml:space="preserve">Summe Teil Bauphysik Raumakustik brutto </t>
  </si>
  <si>
    <t>Stundenpool (optionale Leistungen)</t>
  </si>
  <si>
    <t>in Zusammenhang mit OA:</t>
  </si>
  <si>
    <r>
      <t>%-Satz für ED [h1ED = 60,0 x (BMGL)</t>
    </r>
    <r>
      <rPr>
        <vertAlign val="superscript"/>
        <sz val="10"/>
        <color indexed="8"/>
        <rFont val="Arial"/>
        <family val="2"/>
      </rPr>
      <t>(-0,1045)</t>
    </r>
    <r>
      <rPr>
        <sz val="10"/>
        <color indexed="8"/>
        <rFont val="Arial"/>
        <family val="2"/>
      </rPr>
      <t xml:space="preserve"> x fbw]</t>
    </r>
  </si>
  <si>
    <t>ABMINDERUNG</t>
  </si>
  <si>
    <t>Brandschutz</t>
  </si>
  <si>
    <t>Vergütungsermittlung / Honorar</t>
  </si>
  <si>
    <t>nach Abschätzen des Aufwandes - Pauschale</t>
  </si>
  <si>
    <t>technischer Brandschutz</t>
  </si>
  <si>
    <t>Fluchtwege, Stellplätze</t>
  </si>
  <si>
    <t>Entrauchung</t>
  </si>
  <si>
    <t>Evaluierung Entwurf</t>
  </si>
  <si>
    <t>Evaluierung AFP</t>
  </si>
  <si>
    <t>brandschutztechnische Prüfung der M+W Planung</t>
  </si>
  <si>
    <t>MW Technikgeschoss Aufschalten</t>
  </si>
  <si>
    <t>Bewertung Technikgeschoss</t>
  </si>
  <si>
    <t>Baustellenbrandschutzordnung</t>
  </si>
  <si>
    <t>Baustellenkontrolle, Teilabnahmen</t>
  </si>
  <si>
    <t>MW Mängelprüfungen</t>
  </si>
  <si>
    <t>Begehungen vor Ort, Beratung ÖBA</t>
  </si>
  <si>
    <t>MW Fertigstellungsanzeige</t>
  </si>
  <si>
    <t>Summe Brandschutz ohne Nebenkosten</t>
  </si>
  <si>
    <t>Summe Brandschutz inkl. NK</t>
  </si>
  <si>
    <t xml:space="preserve">Summe Brandschutz brutto </t>
  </si>
  <si>
    <r>
      <rPr>
        <b/>
        <sz val="11"/>
        <color indexed="8"/>
        <rFont val="Arial"/>
        <family val="2"/>
      </rPr>
      <t>Brandschutz</t>
    </r>
    <r>
      <rPr>
        <sz val="11"/>
        <color indexed="8"/>
        <rFont val="Arial"/>
        <family val="2"/>
      </rPr>
      <t xml:space="preserve">                             
nach AHO JUN-2015</t>
    </r>
  </si>
  <si>
    <t>erweiterte Projektkennwerte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</si>
  <si>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Projekt</t>
    </r>
  </si>
  <si>
    <t>Teilfläche 1</t>
  </si>
  <si>
    <t>Teilfläche 2</t>
  </si>
  <si>
    <t>Teilfläche 3</t>
  </si>
  <si>
    <t>Teilfläche 4</t>
  </si>
  <si>
    <t>Titel</t>
  </si>
  <si>
    <t>Schule UG</t>
  </si>
  <si>
    <t>Technik</t>
  </si>
  <si>
    <t>Schule</t>
  </si>
  <si>
    <t>Wohnen</t>
  </si>
  <si>
    <t>Verwaltung</t>
  </si>
  <si>
    <r>
      <t>A</t>
    </r>
    <r>
      <rPr>
        <vertAlign val="subscript"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= BGF m²</t>
    </r>
  </si>
  <si>
    <r>
      <t>Projekt-Schwierigkeitsbeiwert S</t>
    </r>
    <r>
      <rPr>
        <b/>
        <vertAlign val="subscript"/>
        <sz val="10"/>
        <color indexed="8"/>
        <rFont val="Arial"/>
        <family val="2"/>
      </rPr>
      <t>P</t>
    </r>
  </si>
  <si>
    <t>Beiwert</t>
  </si>
  <si>
    <t>Anzahl</t>
  </si>
  <si>
    <t>Summe</t>
  </si>
  <si>
    <t>mehr als eine Nutzung, je zusätzliche Nutzung</t>
  </si>
  <si>
    <t>x</t>
  </si>
  <si>
    <t>Variantenauswertung, je zusätzliche Variante</t>
  </si>
  <si>
    <t>besondere Einsatzbediengungen der Feuerwehr</t>
  </si>
  <si>
    <t>besondere Dokumentationsstandards</t>
  </si>
  <si>
    <t>Einsatz von Datenplattformen</t>
  </si>
  <si>
    <t>besondere Genehmigungsverfahren</t>
  </si>
  <si>
    <t>mehrstufige Verfahren (z.B. Teilausbau)</t>
  </si>
  <si>
    <r>
      <t>Summe Projekt-Schwierigkeitsbewert S</t>
    </r>
    <r>
      <rPr>
        <vertAlign val="subscript"/>
        <sz val="10"/>
        <color indexed="8"/>
        <rFont val="Arial"/>
        <family val="2"/>
      </rPr>
      <t>P</t>
    </r>
  </si>
  <si>
    <r>
      <t>S</t>
    </r>
    <r>
      <rPr>
        <vertAlign val="subscript"/>
        <sz val="7"/>
        <color indexed="8"/>
        <rFont val="Arial"/>
        <family val="2"/>
      </rPr>
      <t>P</t>
    </r>
  </si>
  <si>
    <t>Nutzungswertsbeiwert n</t>
  </si>
  <si>
    <r>
      <rPr>
        <sz val="7"/>
        <color indexed="56"/>
        <rFont val="Wingdings 3"/>
        <family val="1"/>
      </rPr>
      <t>|</t>
    </r>
    <r>
      <rPr>
        <sz val="7"/>
        <color indexed="56"/>
        <rFont val="Arial"/>
        <family val="2"/>
      </rPr>
      <t xml:space="preserve"> bezogen auf Teilfläche</t>
    </r>
  </si>
  <si>
    <t>Garagen, erdgeschossiger Industriebau</t>
  </si>
  <si>
    <t>Industriebau mit Ebenen</t>
  </si>
  <si>
    <t>Technikflächen als Nutzungseinheit</t>
  </si>
  <si>
    <t>Wohnen, Büro, Verwaltung</t>
  </si>
  <si>
    <t>Messe und Ausstellung, Sportstätten</t>
  </si>
  <si>
    <t>Verkauf</t>
  </si>
  <si>
    <t>Gaststätten, Beherbergungsbetriebe</t>
  </si>
  <si>
    <t>Kindergarten, Schule, Hochschule, pysikalsiche Labore</t>
  </si>
  <si>
    <t>Justizvollzuganstalt</t>
  </si>
  <si>
    <t>Krankenhaus, Pflegeheim</t>
  </si>
  <si>
    <t>Abfertigungsgebäude von Verkehrsanlagen, Kraftwerke</t>
  </si>
  <si>
    <t>Versammlungsstätten, Diskotheken</t>
  </si>
  <si>
    <t>chemisch-biologische Labore, Funktionsbereiche im KH</t>
  </si>
  <si>
    <t>Summe Nutzungsbeiwert n</t>
  </si>
  <si>
    <r>
      <t>n</t>
    </r>
    <r>
      <rPr>
        <vertAlign val="subscript"/>
        <sz val="9"/>
        <color indexed="8"/>
        <rFont val="Arial"/>
        <family val="2"/>
      </rPr>
      <t>1</t>
    </r>
  </si>
  <si>
    <r>
      <t>n</t>
    </r>
    <r>
      <rPr>
        <vertAlign val="subscript"/>
        <sz val="9"/>
        <color indexed="8"/>
        <rFont val="Arial"/>
        <family val="2"/>
      </rPr>
      <t>2</t>
    </r>
  </si>
  <si>
    <r>
      <t>n</t>
    </r>
    <r>
      <rPr>
        <vertAlign val="subscript"/>
        <sz val="9"/>
        <color indexed="8"/>
        <rFont val="Arial"/>
        <family val="2"/>
      </rPr>
      <t>3</t>
    </r>
  </si>
  <si>
    <r>
      <t>n</t>
    </r>
    <r>
      <rPr>
        <vertAlign val="subscript"/>
        <sz val="9"/>
        <color indexed="8"/>
        <rFont val="Arial"/>
        <family val="2"/>
      </rPr>
      <t>4</t>
    </r>
  </si>
  <si>
    <r>
      <t>Teilflächen-Schwierigkeitsgrad S</t>
    </r>
    <r>
      <rPr>
        <b/>
        <vertAlign val="subscript"/>
        <sz val="10"/>
        <color indexed="8"/>
        <rFont val="Arial"/>
        <family val="2"/>
      </rPr>
      <t>T</t>
    </r>
  </si>
  <si>
    <t>Verkehrswege, d verschied Nutzungseinheiten erschließen</t>
  </si>
  <si>
    <t>unterirdisches Geschoss</t>
  </si>
  <si>
    <t>offene Geschossverbindung</t>
  </si>
  <si>
    <t>Bestandsbau</t>
  </si>
  <si>
    <t>Denkmalschutz</t>
  </si>
  <si>
    <t>ungeregelter Sonderbau</t>
  </si>
  <si>
    <t>überproportionaler Installationsgrad</t>
  </si>
  <si>
    <t>experimentelle Bauweise</t>
  </si>
  <si>
    <r>
      <t>Summe Teilflächen-Schwierigkeitsgrad S</t>
    </r>
    <r>
      <rPr>
        <vertAlign val="subscript"/>
        <sz val="10"/>
        <color indexed="8"/>
        <rFont val="Arial"/>
        <family val="2"/>
      </rPr>
      <t>T</t>
    </r>
  </si>
  <si>
    <r>
      <t>S</t>
    </r>
    <r>
      <rPr>
        <vertAlign val="subscript"/>
        <sz val="7"/>
        <color indexed="8"/>
        <rFont val="Arial"/>
        <family val="2"/>
      </rPr>
      <t>T1</t>
    </r>
  </si>
  <si>
    <r>
      <t>S</t>
    </r>
    <r>
      <rPr>
        <vertAlign val="subscript"/>
        <sz val="7"/>
        <color indexed="8"/>
        <rFont val="Arial"/>
        <family val="2"/>
      </rPr>
      <t>T2</t>
    </r>
  </si>
  <si>
    <r>
      <t>S</t>
    </r>
    <r>
      <rPr>
        <vertAlign val="subscript"/>
        <sz val="7"/>
        <color indexed="8"/>
        <rFont val="Arial"/>
        <family val="2"/>
      </rPr>
      <t>T3</t>
    </r>
  </si>
  <si>
    <r>
      <t>S</t>
    </r>
    <r>
      <rPr>
        <vertAlign val="subscript"/>
        <sz val="7"/>
        <color indexed="8"/>
        <rFont val="Arial"/>
        <family val="2"/>
      </rPr>
      <t>T4</t>
    </r>
  </si>
  <si>
    <t>Vergütungsermittlung / Honorarsatz</t>
  </si>
  <si>
    <r>
      <t>Schwierigkeitesbeiwert S</t>
    </r>
    <r>
      <rPr>
        <vertAlign val="subscript"/>
        <sz val="10"/>
        <color indexed="8"/>
        <rFont val="Arial"/>
        <family val="2"/>
      </rPr>
      <t>i</t>
    </r>
    <r>
      <rPr>
        <sz val="10"/>
        <color indexed="8"/>
        <rFont val="Arial"/>
        <family val="2"/>
      </rPr>
      <t xml:space="preserve"> = (1,0 x </t>
    </r>
    <r>
      <rPr>
        <sz val="10"/>
        <color indexed="8"/>
        <rFont val="Calibri"/>
        <family val="2"/>
      </rPr>
      <t>∑</t>
    </r>
    <r>
      <rPr>
        <sz val="8.5"/>
        <color indexed="8"/>
        <rFont val="Arial"/>
        <family val="2"/>
      </rPr>
      <t xml:space="preserve"> S</t>
    </r>
    <r>
      <rPr>
        <vertAlign val="subscript"/>
        <sz val="8.5"/>
        <color indexed="8"/>
        <rFont val="Arial"/>
        <family val="2"/>
      </rPr>
      <t>P</t>
    </r>
    <r>
      <rPr>
        <sz val="8.5"/>
        <color indexed="8"/>
        <rFont val="Arial"/>
        <family val="2"/>
      </rPr>
      <t xml:space="preserve">) + (1,0 + </t>
    </r>
    <r>
      <rPr>
        <sz val="8.5"/>
        <color indexed="8"/>
        <rFont val="Calibri"/>
        <family val="2"/>
      </rPr>
      <t>∑</t>
    </r>
    <r>
      <rPr>
        <sz val="7.2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</t>
    </r>
    <r>
      <rPr>
        <vertAlign val="subscript"/>
        <sz val="10"/>
        <color indexed="8"/>
        <rFont val="Arial"/>
        <family val="2"/>
      </rPr>
      <t>T</t>
    </r>
    <r>
      <rPr>
        <sz val="7.25"/>
        <color indexed="8"/>
        <rFont val="Arial"/>
        <family val="2"/>
      </rPr>
      <t xml:space="preserve">) = </t>
    </r>
  </si>
  <si>
    <r>
      <t>S</t>
    </r>
    <r>
      <rPr>
        <vertAlign val="subscript"/>
        <sz val="7"/>
        <color indexed="8"/>
        <rFont val="Arial"/>
        <family val="2"/>
      </rPr>
      <t>1</t>
    </r>
  </si>
  <si>
    <r>
      <t>S</t>
    </r>
    <r>
      <rPr>
        <vertAlign val="subscript"/>
        <sz val="7"/>
        <color indexed="8"/>
        <rFont val="Arial"/>
        <family val="2"/>
      </rPr>
      <t>2</t>
    </r>
  </si>
  <si>
    <r>
      <t>S</t>
    </r>
    <r>
      <rPr>
        <vertAlign val="subscript"/>
        <sz val="7"/>
        <color indexed="8"/>
        <rFont val="Arial"/>
        <family val="2"/>
      </rPr>
      <t>3</t>
    </r>
  </si>
  <si>
    <r>
      <t>S</t>
    </r>
    <r>
      <rPr>
        <vertAlign val="subscript"/>
        <sz val="7"/>
        <color indexed="8"/>
        <rFont val="Arial"/>
        <family val="2"/>
      </rPr>
      <t>4</t>
    </r>
  </si>
  <si>
    <r>
      <t>Flächenäquivalent A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 xml:space="preserve"> = A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x S</t>
    </r>
    <r>
      <rPr>
        <vertAlign val="subscript"/>
        <sz val="10"/>
        <rFont val="Arial"/>
        <family val="2"/>
      </rPr>
      <t>i</t>
    </r>
  </si>
  <si>
    <r>
      <t>A</t>
    </r>
    <r>
      <rPr>
        <vertAlign val="subscript"/>
        <sz val="7"/>
        <color indexed="8"/>
        <rFont val="Arial"/>
        <family val="2"/>
      </rPr>
      <t>q1</t>
    </r>
  </si>
  <si>
    <r>
      <t>A</t>
    </r>
    <r>
      <rPr>
        <vertAlign val="subscript"/>
        <sz val="7"/>
        <color indexed="8"/>
        <rFont val="Arial"/>
        <family val="2"/>
      </rPr>
      <t>q2</t>
    </r>
  </si>
  <si>
    <r>
      <t>A</t>
    </r>
    <r>
      <rPr>
        <vertAlign val="subscript"/>
        <sz val="7"/>
        <color indexed="8"/>
        <rFont val="Arial"/>
        <family val="2"/>
      </rPr>
      <t>q3</t>
    </r>
  </si>
  <si>
    <r>
      <t>A</t>
    </r>
    <r>
      <rPr>
        <vertAlign val="subscript"/>
        <sz val="7"/>
        <color indexed="8"/>
        <rFont val="Arial"/>
        <family val="2"/>
      </rPr>
      <t>q4</t>
    </r>
  </si>
  <si>
    <r>
      <t>A</t>
    </r>
    <r>
      <rPr>
        <vertAlign val="subscript"/>
        <sz val="10"/>
        <color indexed="8"/>
        <rFont val="Arial"/>
        <family val="2"/>
      </rPr>
      <t xml:space="preserve">q gesamt </t>
    </r>
    <r>
      <rPr>
        <sz val="10"/>
        <color indexed="8"/>
        <rFont val="Arial"/>
        <family val="2"/>
      </rPr>
      <t>= A</t>
    </r>
    <r>
      <rPr>
        <vertAlign val="subscript"/>
        <sz val="10"/>
        <color indexed="8"/>
        <rFont val="Arial"/>
        <family val="2"/>
      </rPr>
      <t>q1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>q2</t>
    </r>
    <r>
      <rPr>
        <sz val="10"/>
        <color indexed="8"/>
        <rFont val="Arial"/>
        <family val="2"/>
      </rPr>
      <t xml:space="preserve"> + A</t>
    </r>
    <r>
      <rPr>
        <vertAlign val="subscript"/>
        <sz val="10"/>
        <color indexed="8"/>
        <rFont val="Arial"/>
        <family val="2"/>
      </rPr>
      <t xml:space="preserve">q3 </t>
    </r>
    <r>
      <rPr>
        <sz val="10"/>
        <color indexed="8"/>
        <rFont val="Arial"/>
        <family val="2"/>
      </rPr>
      <t>+ A</t>
    </r>
    <r>
      <rPr>
        <vertAlign val="subscript"/>
        <sz val="10"/>
        <color indexed="8"/>
        <rFont val="Arial"/>
        <family val="2"/>
      </rPr>
      <t>q4</t>
    </r>
  </si>
  <si>
    <r>
      <t>Gesamthonorar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^0,61</t>
    </r>
  </si>
  <si>
    <t>Leistungsphasen</t>
  </si>
  <si>
    <t>LPH 1 Grundlagenanalyse (-ermittlung)</t>
  </si>
  <si>
    <t>LPH 2 Vorentwurfsplanung (Vorplanung)</t>
  </si>
  <si>
    <t>LPH 4 Einreichplanung (Genehmigungsplanung)</t>
  </si>
  <si>
    <t>LPH 6 Ausschreibung (Vorbreiten der Vergabe)</t>
  </si>
  <si>
    <t>LPH 7 Begleitung der Bauausführung (-)</t>
  </si>
  <si>
    <t>LPH 8 Örtliche Bauaufsicht, Dokumentation (Objektüberwachung)</t>
  </si>
  <si>
    <t>optionale Leistungen</t>
  </si>
  <si>
    <r>
      <t>Prozentsatz d. beauftr. Leistungsphasen (f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>)</t>
    </r>
  </si>
  <si>
    <r>
      <t>Honorar H = 2.300 + 130 x A</t>
    </r>
    <r>
      <rPr>
        <vertAlign val="subscript"/>
        <sz val="10"/>
        <rFont val="Arial"/>
        <family val="2"/>
      </rPr>
      <t>q gesamt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 xml:space="preserve">^0,61 </t>
    </r>
    <r>
      <rPr>
        <sz val="10"/>
        <rFont val="Arial"/>
        <family val="2"/>
      </rPr>
      <t>x f</t>
    </r>
    <r>
      <rPr>
        <vertAlign val="subscript"/>
        <sz val="10"/>
        <rFont val="Arial"/>
        <family val="2"/>
      </rPr>
      <t>LPH</t>
    </r>
  </si>
  <si>
    <t>Summe Brandschutz netto inkl. NK ohne NL</t>
  </si>
  <si>
    <t>Nachlass / Aufschlag</t>
  </si>
  <si>
    <t>Summe Brandschutz netto inkl. NK und NL</t>
  </si>
  <si>
    <t>Einbaumöbel</t>
  </si>
  <si>
    <t>Serienmöbel</t>
  </si>
  <si>
    <t>PLANUNGSLEISTUNGEN</t>
  </si>
  <si>
    <t>NEBENKOSTEN</t>
  </si>
  <si>
    <t>mitzuverarbeitende Bausubstanz</t>
  </si>
  <si>
    <t>Umbauzuschlag nach BKG.11</t>
  </si>
  <si>
    <r>
      <t>Vergütung VBKG = BMGL x h</t>
    </r>
    <r>
      <rPr>
        <vertAlign val="subscript"/>
        <sz val="10"/>
        <rFont val="Arial"/>
        <family val="2"/>
      </rPr>
      <t>BKG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</si>
  <si>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Summe BauKG Planungs- und Baukoordination ohne Nebenkosten</t>
  </si>
  <si>
    <t>Summe BauKG Planungs- und Baukoordination netto inkl. NK</t>
  </si>
  <si>
    <t>Summe BauKG Planungs- und Baukoordination brutto</t>
  </si>
  <si>
    <t>Umbauzuschlag nach OA.11</t>
  </si>
  <si>
    <t>Umbauzuschlag nach FA.11</t>
  </si>
  <si>
    <r>
      <t>Vergütung VFA = BMGL x h</t>
    </r>
    <r>
      <rPr>
        <vertAlign val="subscript"/>
        <sz val="10"/>
        <rFont val="Arial"/>
        <family val="2"/>
      </rPr>
      <t>FA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</si>
  <si>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Umbauzuschlag nach TW.11</t>
  </si>
  <si>
    <r>
      <t>Vergütung VTW = BMGL x h</t>
    </r>
    <r>
      <rPr>
        <vertAlign val="subscript"/>
        <sz val="10"/>
        <rFont val="Arial"/>
        <family val="2"/>
      </rPr>
      <t>TW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</si>
  <si>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t>Umbauzuschlag nach BP.11</t>
  </si>
  <si>
    <r>
      <t>Vergütung VBPT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</si>
  <si>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t>Vergütung VBPS = BMGL x h</t>
    </r>
    <r>
      <rPr>
        <vertAlign val="subscript"/>
        <sz val="10"/>
        <rFont val="Arial"/>
        <family val="2"/>
      </rPr>
      <t>BPT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</si>
  <si>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t>Vergütung VBPA = BMGL x h</t>
    </r>
    <r>
      <rPr>
        <vertAlign val="subscript"/>
        <sz val="10"/>
        <rFont val="Arial"/>
        <family val="2"/>
      </rPr>
      <t>BPA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 xml:space="preserve"> / BRI x betrachteter Raum
                                + Umbauzuschlag</t>
    </r>
  </si>
  <si>
    <r>
      <rPr>
        <b/>
        <sz val="9"/>
        <color indexed="23"/>
        <rFont val="Arial"/>
        <family val="2"/>
      </rPr>
      <t>&lt;</t>
    </r>
    <r>
      <rPr>
        <sz val="9"/>
        <color indexed="23"/>
        <rFont val="Arial"/>
        <family val="2"/>
      </rPr>
      <t xml:space="preserve"> dieser Betrag sollte unter dem Stundenpool abgewickelt werden</t>
    </r>
  </si>
  <si>
    <t>Technische Ausrüstung nach VM.TA.2014</t>
  </si>
  <si>
    <t>Umbauzuschlag nach TA.11</t>
  </si>
  <si>
    <t>Summe Teil Technische Ausrüstung ohne Nebenkosten</t>
  </si>
  <si>
    <t>Summe Teil Technische Ausrüstung netto inkl. NK</t>
  </si>
  <si>
    <t xml:space="preserve">Summe Teil Technische Ausrüstung brutto </t>
  </si>
  <si>
    <t>BAUWERKSKOSTEN</t>
  </si>
  <si>
    <t>Z</t>
  </si>
  <si>
    <t>MITZUVERARBEITENDE BAUSUBSTANZ</t>
  </si>
  <si>
    <t>BRI</t>
  </si>
  <si>
    <t>geschätzter Wert</t>
  </si>
  <si>
    <t>mvB = BRI x 50-60 €/m³</t>
  </si>
  <si>
    <t xml:space="preserve">Brandschutz </t>
  </si>
  <si>
    <t>Summe Generalplaner gesamt (GP 2b + PL + ÖBA) ohne Nebenkosten</t>
  </si>
  <si>
    <t>in %</t>
  </si>
  <si>
    <t>Anteil an ERK:</t>
  </si>
  <si>
    <t>Prozentanteil an Errichtungskosten</t>
  </si>
  <si>
    <t>Umbauzuschlag nach GP.11</t>
  </si>
  <si>
    <t>Technische Ausrüstung nach VM.TA.2014 - HKLS</t>
  </si>
  <si>
    <t>Technische Ausrüstung nach VM.TA.2014 - Elektro</t>
  </si>
  <si>
    <t>Technische Ausrüstung nach VM.TA.2014 - FöTe</t>
  </si>
  <si>
    <t>Technische Ausrüstung nach VM.TA.2014 - GA</t>
  </si>
  <si>
    <r>
      <t>%-Satz für GPb [h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1,75</t>
    </r>
    <r>
      <rPr>
        <sz val="10"/>
        <rFont val="Arial"/>
        <family val="2"/>
      </rPr>
      <t xml:space="preserve"> x (-0,0778 x LN(BMGL) + 2,022) x f</t>
    </r>
    <r>
      <rPr>
        <vertAlign val="subscript"/>
        <sz val="10"/>
        <rFont val="Arial"/>
        <family val="2"/>
      </rPr>
      <t>bw</t>
    </r>
    <r>
      <rPr>
        <sz val="10"/>
        <rFont val="Arial"/>
        <family val="2"/>
      </rPr>
      <t>]</t>
    </r>
  </si>
  <si>
    <r>
      <rPr>
        <sz val="8"/>
        <color indexed="56"/>
        <rFont val="Wingdings 3"/>
        <family val="1"/>
      </rPr>
      <t>|</t>
    </r>
    <r>
      <rPr>
        <sz val="8"/>
        <color indexed="56"/>
        <rFont val="Arial"/>
        <family val="2"/>
      </rPr>
      <t xml:space="preserve"> inkl Anpassung Faktor 1,75
   vom JUN-2016</t>
    </r>
  </si>
  <si>
    <r>
      <t>Vergütung VGPb = BMGL x h</t>
    </r>
    <r>
      <rPr>
        <vertAlign val="subscript"/>
        <sz val="10"/>
        <rFont val="Arial"/>
        <family val="2"/>
      </rPr>
      <t>GPb</t>
    </r>
    <r>
      <rPr>
        <sz val="10"/>
        <rFont val="Arial"/>
        <family val="2"/>
      </rPr>
      <t xml:space="preserve"> x Umbauzuschlag x 100% f</t>
    </r>
    <r>
      <rPr>
        <vertAlign val="subscript"/>
        <sz val="10"/>
        <rFont val="Arial"/>
        <family val="2"/>
      </rPr>
      <t>LPH</t>
    </r>
  </si>
  <si>
    <r>
      <rPr>
        <b/>
        <sz val="8"/>
        <color indexed="8"/>
        <rFont val="Arial"/>
        <family val="2"/>
      </rPr>
      <t xml:space="preserve">Generalplaner Management 2.b 
</t>
    </r>
    <r>
      <rPr>
        <sz val="8"/>
        <color indexed="8"/>
        <rFont val="Arial"/>
        <family val="2"/>
      </rPr>
      <t>nach VM.GP.2014</t>
    </r>
  </si>
  <si>
    <t>Generalplaner Leitung 2.b nach VM.GP.2014</t>
  </si>
  <si>
    <r>
      <t>Vergütung VTA = BMGL x h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2"/>
      </rPr>
      <t xml:space="preserve"> x 100% f</t>
    </r>
    <r>
      <rPr>
        <vertAlign val="subscript"/>
        <sz val="10"/>
        <rFont val="Arial"/>
        <family val="2"/>
      </rPr>
      <t>LPH</t>
    </r>
    <r>
      <rPr>
        <sz val="10"/>
        <rFont val="Arial"/>
        <family val="2"/>
      </rPr>
      <t xml:space="preserve"> x Umbauzuschlag</t>
    </r>
  </si>
  <si>
    <t>LM.VM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</si>
</sst>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"/>
    <numFmt numFmtId="173" formatCode="&quot;.&quot;0#"/>
    <numFmt numFmtId="174" formatCode="0.000%"/>
    <numFmt numFmtId="175" formatCode="#,##0.00&quot; EUR&quot;"/>
    <numFmt numFmtId="176" formatCode="#,##0&quot; öS&quot;"/>
    <numFmt numFmtId="177" formatCode="#,##0&quot; €&quot;"/>
    <numFmt numFmtId="178" formatCode="#,##0.00000"/>
    <numFmt numFmtId="179" formatCode="_-* #,##0.0000_-;\-* #,##0.0000_-;_-* &quot;-&quot;??_-;_-@_-"/>
    <numFmt numFmtId="180" formatCode="#,##0\ &quot;€&quot;"/>
    <numFmt numFmtId="181" formatCode="#,##0.000000"/>
    <numFmt numFmtId="182" formatCode="#,##0.0000"/>
    <numFmt numFmtId="183" formatCode="#,##0.000"/>
    <numFmt numFmtId="184" formatCode="0.0%"/>
    <numFmt numFmtId="185" formatCode="#,##0&quot; m³&quot;"/>
    <numFmt numFmtId="186" formatCode="#,##0.00\ &quot;m³&quot;"/>
    <numFmt numFmtId="187" formatCode="#,##0.0\ &quot;m³&quot;"/>
    <numFmt numFmtId="188" formatCode="#,##0\ &quot;m³&quot;"/>
    <numFmt numFmtId="189" formatCode="[$-C07]dddd\,\ dd\.\ mmmm\ yyyy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_-* #,##0.0\ &quot;€&quot;_-;\-* #,##0.0\ &quot;€&quot;_-;_-* &quot;-&quot;?\ &quot;€&quot;_-;_-@_-"/>
    <numFmt numFmtId="196" formatCode="0.0"/>
    <numFmt numFmtId="197" formatCode="#,##0.0"/>
    <numFmt numFmtId="198" formatCode="#,##0\ &quot;h&quot;"/>
    <numFmt numFmtId="199" formatCode="#,##0.00\ &quot;€/h&quot;"/>
    <numFmt numFmtId="200" formatCode="0.0000%"/>
    <numFmt numFmtId="201" formatCode="#,##0.00\ &quot;m²&quot;"/>
    <numFmt numFmtId="202" formatCode="#,##0\ &quot;€ / m³&quot;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13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7"/>
      <color indexed="8"/>
      <name val="Arial"/>
      <family val="2"/>
    </font>
    <font>
      <i/>
      <sz val="7"/>
      <color indexed="8"/>
      <name val="Calibri"/>
      <family val="2"/>
    </font>
    <font>
      <i/>
      <sz val="9.1"/>
      <color indexed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trike/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9"/>
      <color indexed="8"/>
      <name val="Wingdings 3"/>
      <family val="1"/>
    </font>
    <font>
      <sz val="36"/>
      <color indexed="8"/>
      <name val="Wingdings 3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56"/>
      <name val="Wingdings 3"/>
      <family val="1"/>
    </font>
    <font>
      <sz val="7"/>
      <color indexed="56"/>
      <name val="Arial"/>
      <family val="2"/>
    </font>
    <font>
      <vertAlign val="sub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vertAlign val="subscript"/>
      <sz val="7"/>
      <color indexed="8"/>
      <name val="Arial"/>
      <family val="2"/>
    </font>
    <font>
      <vertAlign val="subscript"/>
      <sz val="9"/>
      <color indexed="8"/>
      <name val="Arial"/>
      <family val="2"/>
    </font>
    <font>
      <sz val="10"/>
      <color indexed="8"/>
      <name val="Calibri"/>
      <family val="2"/>
    </font>
    <font>
      <sz val="8.5"/>
      <color indexed="8"/>
      <name val="Arial"/>
      <family val="2"/>
    </font>
    <font>
      <vertAlign val="subscript"/>
      <sz val="8.5"/>
      <color indexed="8"/>
      <name val="Arial"/>
      <family val="2"/>
    </font>
    <font>
      <sz val="8.5"/>
      <color indexed="8"/>
      <name val="Calibri"/>
      <family val="2"/>
    </font>
    <font>
      <sz val="7.25"/>
      <color indexed="8"/>
      <name val="Arial"/>
      <family val="2"/>
    </font>
    <font>
      <i/>
      <sz val="9"/>
      <color indexed="8"/>
      <name val="Arial"/>
      <family val="2"/>
    </font>
    <font>
      <strike/>
      <sz val="10"/>
      <color indexed="8"/>
      <name val="Arial"/>
      <family val="2"/>
    </font>
    <font>
      <sz val="8"/>
      <color indexed="56"/>
      <name val="Wingdings 3"/>
      <family val="1"/>
    </font>
    <font>
      <sz val="8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sz val="10"/>
      <color indexed="55"/>
      <name val="Arial"/>
      <family val="2"/>
    </font>
    <font>
      <sz val="8"/>
      <color indexed="9"/>
      <name val="Arial"/>
      <family val="2"/>
    </font>
    <font>
      <b/>
      <sz val="13"/>
      <color indexed="9"/>
      <name val="Calibri"/>
      <family val="2"/>
    </font>
    <font>
      <i/>
      <sz val="10"/>
      <color indexed="8"/>
      <name val="Calibri"/>
      <family val="2"/>
    </font>
    <font>
      <b/>
      <sz val="10"/>
      <color indexed="22"/>
      <name val="Arial"/>
      <family val="2"/>
    </font>
    <font>
      <i/>
      <sz val="10"/>
      <color indexed="55"/>
      <name val="Arial"/>
      <family val="2"/>
    </font>
    <font>
      <i/>
      <sz val="11"/>
      <color indexed="8"/>
      <name val="Calibri"/>
      <family val="2"/>
    </font>
    <font>
      <sz val="7"/>
      <color indexed="9"/>
      <name val="Arial"/>
      <family val="2"/>
    </font>
    <font>
      <sz val="10"/>
      <color indexed="8"/>
      <name val="Wingdings 3"/>
      <family val="1"/>
    </font>
    <font>
      <sz val="9"/>
      <color indexed="55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theme="1" tint="0.49998000264167786"/>
      <name val="Arial"/>
      <family val="2"/>
    </font>
    <font>
      <sz val="8"/>
      <color theme="1" tint="0.49998000264167786"/>
      <name val="Arial"/>
      <family val="2"/>
    </font>
    <font>
      <sz val="10"/>
      <color theme="0" tint="-0.3499799966812134"/>
      <name val="Arial"/>
      <family val="2"/>
    </font>
    <font>
      <sz val="10"/>
      <color theme="0" tint="-0.24993999302387238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13"/>
      <color theme="0"/>
      <name val="Calibri"/>
      <family val="2"/>
    </font>
    <font>
      <i/>
      <sz val="10"/>
      <color theme="1"/>
      <name val="Calibri"/>
      <family val="2"/>
    </font>
    <font>
      <sz val="9"/>
      <color theme="0" tint="-0.4999699890613556"/>
      <name val="Arial"/>
      <family val="2"/>
    </font>
    <font>
      <sz val="9"/>
      <color theme="1" tint="0.49998000264167786"/>
      <name val="Arial"/>
      <family val="2"/>
    </font>
    <font>
      <b/>
      <sz val="10"/>
      <color theme="0" tint="-0.04997999966144562"/>
      <name val="Arial"/>
      <family val="2"/>
    </font>
    <font>
      <sz val="7"/>
      <color theme="3"/>
      <name val="Arial"/>
      <family val="2"/>
    </font>
    <font>
      <sz val="10"/>
      <color theme="0" tint="-0.24997000396251678"/>
      <name val="Arial"/>
      <family val="2"/>
    </font>
    <font>
      <i/>
      <sz val="10"/>
      <color theme="0" tint="-0.3499799966812134"/>
      <name val="Arial"/>
      <family val="2"/>
    </font>
    <font>
      <i/>
      <sz val="11"/>
      <color theme="1"/>
      <name val="Calibri"/>
      <family val="2"/>
    </font>
    <font>
      <sz val="7"/>
      <color theme="0"/>
      <name val="Arial"/>
      <family val="2"/>
    </font>
    <font>
      <sz val="10"/>
      <color theme="1"/>
      <name val="Wingdings 3"/>
      <family val="1"/>
    </font>
    <font>
      <sz val="8"/>
      <color theme="3"/>
      <name val="Arial"/>
      <family val="2"/>
    </font>
    <font>
      <sz val="9"/>
      <color theme="0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 style="hair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hair">
        <color theme="0"/>
      </bottom>
    </border>
    <border>
      <left style="thin">
        <color theme="0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 style="hair"/>
      <right style="hair"/>
      <top>
        <color indexed="63"/>
      </top>
      <bottom style="hair"/>
    </border>
    <border>
      <left style="thin">
        <color theme="0"/>
      </left>
      <right>
        <color indexed="63"/>
      </right>
      <top style="hair">
        <color theme="0"/>
      </top>
      <bottom style="hair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>
        <color indexed="63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6" borderId="2" applyNumberFormat="0" applyAlignment="0" applyProtection="0"/>
    <xf numFmtId="0" fontId="8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8" fillId="27" borderId="2" applyNumberFormat="0" applyAlignment="0" applyProtection="0"/>
    <xf numFmtId="0" fontId="89" fillId="0" borderId="3" applyNumberFormat="0" applyFill="0" applyAlignment="0" applyProtection="0"/>
    <xf numFmtId="0" fontId="9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3" fontId="5" fillId="28" borderId="4">
      <alignment/>
      <protection/>
    </xf>
    <xf numFmtId="0" fontId="91" fillId="29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4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33" borderId="10" applyNumberFormat="0" applyAlignment="0" applyProtection="0"/>
  </cellStyleXfs>
  <cellXfs count="612">
    <xf numFmtId="0" fontId="0" fillId="0" borderId="0" xfId="0" applyFont="1" applyAlignment="1">
      <alignment/>
    </xf>
    <xf numFmtId="0" fontId="5" fillId="0" borderId="0" xfId="69" applyFont="1" applyFill="1" applyBorder="1" applyProtection="1">
      <alignment/>
      <protection/>
    </xf>
    <xf numFmtId="0" fontId="6" fillId="0" borderId="0" xfId="69" applyFont="1" applyFill="1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left"/>
      <protection/>
    </xf>
    <xf numFmtId="172" fontId="5" fillId="0" borderId="0" xfId="69" applyNumberFormat="1" applyFont="1" applyFill="1" applyBorder="1" applyAlignment="1" applyProtection="1">
      <alignment horizontal="left"/>
      <protection/>
    </xf>
    <xf numFmtId="173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Font="1" applyAlignment="1" applyProtection="1">
      <alignment horizontal="left"/>
      <protection/>
    </xf>
    <xf numFmtId="0" fontId="5" fillId="0" borderId="0" xfId="69" applyFont="1" applyProtection="1">
      <alignment/>
      <protection/>
    </xf>
    <xf numFmtId="10" fontId="5" fillId="0" borderId="0" xfId="69" applyNumberFormat="1" applyFont="1" applyAlignment="1" applyProtection="1">
      <alignment horizontal="right"/>
      <protection/>
    </xf>
    <xf numFmtId="3" fontId="5" fillId="0" borderId="0" xfId="69" applyNumberFormat="1" applyFont="1" applyAlignment="1" applyProtection="1">
      <alignment horizontal="right"/>
      <protection/>
    </xf>
    <xf numFmtId="0" fontId="13" fillId="0" borderId="0" xfId="69" applyFont="1" applyFill="1" applyBorder="1" applyAlignment="1" applyProtection="1">
      <alignment vertical="center"/>
      <protection/>
    </xf>
    <xf numFmtId="0" fontId="14" fillId="0" borderId="0" xfId="69" applyFont="1" applyFill="1" applyBorder="1" applyAlignment="1" applyProtection="1">
      <alignment vertical="center"/>
      <protection/>
    </xf>
    <xf numFmtId="0" fontId="6" fillId="0" borderId="0" xfId="69" applyFont="1" applyBorder="1" applyAlignment="1" applyProtection="1">
      <alignment horizontal="left"/>
      <protection/>
    </xf>
    <xf numFmtId="0" fontId="5" fillId="0" borderId="0" xfId="69" applyFont="1" applyBorder="1" applyProtection="1">
      <alignment/>
      <protection/>
    </xf>
    <xf numFmtId="3" fontId="5" fillId="0" borderId="0" xfId="69" applyNumberFormat="1" applyFont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0" xfId="69" applyNumberFormat="1" applyFont="1" applyFill="1" applyBorder="1" applyAlignment="1" applyProtection="1">
      <alignment horizontal="center"/>
      <protection/>
    </xf>
    <xf numFmtId="3" fontId="5" fillId="0" borderId="0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Border="1" applyAlignment="1" applyProtection="1">
      <alignment horizontal="right"/>
      <protection/>
    </xf>
    <xf numFmtId="0" fontId="15" fillId="0" borderId="0" xfId="69" applyFont="1" applyFill="1" applyBorder="1" applyProtection="1">
      <alignment/>
      <protection/>
    </xf>
    <xf numFmtId="0" fontId="6" fillId="0" borderId="0" xfId="69" applyFont="1" applyAlignment="1" applyProtection="1">
      <alignment horizontal="center"/>
      <protection/>
    </xf>
    <xf numFmtId="0" fontId="5" fillId="0" borderId="0" xfId="69" applyFont="1" applyFill="1" applyBorder="1" applyAlignment="1" applyProtection="1">
      <alignment vertical="top"/>
      <protection/>
    </xf>
    <xf numFmtId="0" fontId="5" fillId="0" borderId="0" xfId="69" applyFont="1" applyAlignment="1" applyProtection="1">
      <alignment vertical="top"/>
      <protection/>
    </xf>
    <xf numFmtId="0" fontId="0" fillId="0" borderId="0" xfId="0" applyAlignment="1">
      <alignment vertical="top"/>
    </xf>
    <xf numFmtId="0" fontId="6" fillId="0" borderId="0" xfId="69" applyFont="1" applyAlignment="1" applyProtection="1">
      <alignment vertical="top"/>
      <protection/>
    </xf>
    <xf numFmtId="0" fontId="3" fillId="0" borderId="0" xfId="66" applyFont="1" applyFill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11" xfId="66" applyFont="1" applyBorder="1" applyAlignment="1" applyProtection="1">
      <alignment vertical="center"/>
      <protection/>
    </xf>
    <xf numFmtId="0" fontId="3" fillId="0" borderId="12" xfId="66" applyFont="1" applyBorder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3" fillId="0" borderId="11" xfId="66" applyFont="1" applyBorder="1" applyAlignment="1" applyProtection="1">
      <alignment/>
      <protection/>
    </xf>
    <xf numFmtId="3" fontId="6" fillId="0" borderId="0" xfId="69" applyNumberFormat="1" applyFont="1" applyFill="1" applyBorder="1" applyAlignment="1" applyProtection="1">
      <alignment vertical="top" wrapText="1"/>
      <protection locked="0"/>
    </xf>
    <xf numFmtId="3" fontId="5" fillId="0" borderId="0" xfId="6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66" applyFont="1" applyProtection="1">
      <alignment/>
      <protection/>
    </xf>
    <xf numFmtId="0" fontId="3" fillId="0" borderId="0" xfId="66" applyFont="1" applyAlignment="1" applyProtection="1">
      <alignment horizontal="right"/>
      <protection/>
    </xf>
    <xf numFmtId="174" fontId="3" fillId="0" borderId="0" xfId="66" applyNumberFormat="1" applyFont="1" applyProtection="1">
      <alignment/>
      <protection/>
    </xf>
    <xf numFmtId="176" fontId="7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3" fillId="0" borderId="0" xfId="66" applyFont="1" applyBorder="1" applyProtection="1">
      <alignment/>
      <protection/>
    </xf>
    <xf numFmtId="10" fontId="3" fillId="0" borderId="0" xfId="66" applyNumberFormat="1" applyFont="1" applyFill="1" applyAlignment="1" applyProtection="1">
      <alignment horizontal="right"/>
      <protection/>
    </xf>
    <xf numFmtId="178" fontId="3" fillId="0" borderId="0" xfId="66" applyNumberFormat="1" applyFont="1" applyFill="1" applyAlignment="1" applyProtection="1">
      <alignment vertical="center"/>
      <protection/>
    </xf>
    <xf numFmtId="0" fontId="3" fillId="0" borderId="0" xfId="66" applyFont="1" applyFill="1" applyBorder="1" applyAlignment="1" applyProtection="1">
      <alignment/>
      <protection/>
    </xf>
    <xf numFmtId="0" fontId="3" fillId="0" borderId="0" xfId="66" applyFont="1" applyFill="1" applyBorder="1" applyAlignment="1" applyProtection="1">
      <alignment vertical="center"/>
      <protection/>
    </xf>
    <xf numFmtId="177" fontId="10" fillId="0" borderId="0" xfId="66" applyNumberFormat="1" applyFont="1" applyFill="1" applyBorder="1" applyAlignment="1" applyProtection="1">
      <alignment vertical="center"/>
      <protection/>
    </xf>
    <xf numFmtId="0" fontId="5" fillId="0" borderId="0" xfId="69" applyFont="1" applyFill="1" applyProtection="1">
      <alignment/>
      <protection/>
    </xf>
    <xf numFmtId="0" fontId="102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4" fillId="0" borderId="0" xfId="6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top"/>
    </xf>
    <xf numFmtId="0" fontId="5" fillId="0" borderId="0" xfId="69" applyFont="1" applyFill="1" applyAlignment="1" applyProtection="1">
      <alignment vertical="top"/>
      <protection/>
    </xf>
    <xf numFmtId="10" fontId="5" fillId="0" borderId="0" xfId="69" applyNumberFormat="1" applyFont="1" applyFill="1" applyBorder="1" applyProtection="1">
      <alignment/>
      <protection/>
    </xf>
    <xf numFmtId="0" fontId="9" fillId="0" borderId="0" xfId="69" applyFont="1" applyFill="1" applyBorder="1" applyProtection="1">
      <alignment/>
      <protection/>
    </xf>
    <xf numFmtId="3" fontId="10" fillId="0" borderId="0" xfId="69" applyNumberFormat="1" applyFont="1" applyFill="1" applyBorder="1" applyAlignment="1" applyProtection="1">
      <alignment/>
      <protection locked="0"/>
    </xf>
    <xf numFmtId="3" fontId="9" fillId="0" borderId="0" xfId="69" applyNumberFormat="1" applyFont="1" applyFill="1" applyBorder="1" applyAlignment="1" applyProtection="1">
      <alignment/>
      <protection/>
    </xf>
    <xf numFmtId="0" fontId="5" fillId="0" borderId="11" xfId="69" applyFont="1" applyFill="1" applyBorder="1" applyProtection="1">
      <alignment/>
      <protection/>
    </xf>
    <xf numFmtId="0" fontId="5" fillId="0" borderId="12" xfId="69" applyFont="1" applyFill="1" applyBorder="1" applyProtection="1">
      <alignment/>
      <protection/>
    </xf>
    <xf numFmtId="10" fontId="5" fillId="0" borderId="0" xfId="69" applyNumberFormat="1" applyFont="1" applyFill="1" applyAlignment="1" applyProtection="1">
      <alignment horizontal="right"/>
      <protection/>
    </xf>
    <xf numFmtId="0" fontId="5" fillId="0" borderId="0" xfId="69" applyFont="1" applyFill="1" applyBorder="1" applyAlignment="1" applyProtection="1">
      <alignment horizontal="left"/>
      <protection/>
    </xf>
    <xf numFmtId="3" fontId="5" fillId="0" borderId="0" xfId="69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  <xf numFmtId="10" fontId="5" fillId="0" borderId="0" xfId="69" applyNumberFormat="1" applyFont="1" applyFill="1" applyBorder="1" applyAlignment="1" applyProtection="1">
      <alignment horizontal="right"/>
      <protection/>
    </xf>
    <xf numFmtId="0" fontId="4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Alignment="1" applyProtection="1">
      <alignment horizontal="right"/>
      <protection/>
    </xf>
    <xf numFmtId="0" fontId="6" fillId="0" borderId="11" xfId="69" applyFont="1" applyBorder="1" applyAlignment="1" applyProtection="1">
      <alignment horizontal="left"/>
      <protection/>
    </xf>
    <xf numFmtId="0" fontId="6" fillId="0" borderId="12" xfId="69" applyFont="1" applyBorder="1" applyAlignment="1" applyProtection="1">
      <alignment horizontal="left"/>
      <protection/>
    </xf>
    <xf numFmtId="10" fontId="16" fillId="0" borderId="0" xfId="69" applyNumberFormat="1" applyFont="1" applyFill="1" applyBorder="1" applyAlignment="1" applyProtection="1">
      <alignment horizontal="left" wrapText="1"/>
      <protection/>
    </xf>
    <xf numFmtId="3" fontId="9" fillId="0" borderId="0" xfId="69" applyNumberFormat="1" applyFont="1" applyFill="1" applyBorder="1" applyAlignment="1" applyProtection="1">
      <alignment horizontal="right"/>
      <protection/>
    </xf>
    <xf numFmtId="3" fontId="15" fillId="0" borderId="0" xfId="69" applyNumberFormat="1" applyFont="1" applyFill="1" applyBorder="1" applyAlignment="1" applyProtection="1">
      <alignment horizontal="right"/>
      <protection/>
    </xf>
    <xf numFmtId="10" fontId="5" fillId="0" borderId="11" xfId="69" applyNumberFormat="1" applyFont="1" applyBorder="1" applyAlignment="1" applyProtection="1">
      <alignment horizontal="right"/>
      <protection/>
    </xf>
    <xf numFmtId="177" fontId="3" fillId="0" borderId="0" xfId="66" applyNumberFormat="1" applyFont="1" applyProtection="1">
      <alignment/>
      <protection/>
    </xf>
    <xf numFmtId="177" fontId="7" fillId="0" borderId="0" xfId="66" applyNumberFormat="1" applyFont="1" applyFill="1" applyProtection="1">
      <alignment/>
      <protection/>
    </xf>
    <xf numFmtId="9" fontId="3" fillId="0" borderId="0" xfId="66" applyNumberFormat="1" applyFont="1" applyAlignment="1" applyProtection="1">
      <alignment horizontal="center"/>
      <protection/>
    </xf>
    <xf numFmtId="174" fontId="3" fillId="0" borderId="0" xfId="66" applyNumberFormat="1" applyFont="1" applyAlignment="1" applyProtection="1">
      <alignment horizontal="left"/>
      <protection/>
    </xf>
    <xf numFmtId="0" fontId="3" fillId="0" borderId="13" xfId="66" applyFont="1" applyBorder="1" applyProtection="1">
      <alignment/>
      <protection/>
    </xf>
    <xf numFmtId="0" fontId="3" fillId="0" borderId="13" xfId="66" applyFont="1" applyBorder="1" applyAlignment="1" applyProtection="1">
      <alignment horizontal="right"/>
      <protection/>
    </xf>
    <xf numFmtId="174" fontId="3" fillId="0" borderId="13" xfId="66" applyNumberFormat="1" applyFont="1" applyBorder="1" applyProtection="1">
      <alignment/>
      <protection/>
    </xf>
    <xf numFmtId="176" fontId="7" fillId="0" borderId="0" xfId="66" applyNumberFormat="1" applyFont="1" applyFill="1" applyProtection="1">
      <alignment/>
      <protection/>
    </xf>
    <xf numFmtId="0" fontId="2" fillId="0" borderId="0" xfId="66" applyFont="1" applyFill="1" applyProtection="1">
      <alignment/>
      <protection/>
    </xf>
    <xf numFmtId="0" fontId="2" fillId="0" borderId="0" xfId="66" applyFont="1" applyFill="1" applyAlignment="1" applyProtection="1">
      <alignment horizontal="right"/>
      <protection/>
    </xf>
    <xf numFmtId="174" fontId="2" fillId="0" borderId="0" xfId="66" applyNumberFormat="1" applyFont="1" applyFill="1" applyProtection="1">
      <alignment/>
      <protection/>
    </xf>
    <xf numFmtId="177" fontId="7" fillId="0" borderId="0" xfId="66" applyNumberFormat="1" applyFont="1" applyFill="1" applyBorder="1" applyProtection="1">
      <alignment/>
      <protection/>
    </xf>
    <xf numFmtId="9" fontId="3" fillId="0" borderId="0" xfId="66" applyNumberFormat="1" applyFont="1" applyBorder="1" applyAlignment="1" applyProtection="1">
      <alignment horizontal="center"/>
      <protection/>
    </xf>
    <xf numFmtId="176" fontId="7" fillId="0" borderId="13" xfId="66" applyNumberFormat="1" applyFont="1" applyFill="1" applyBorder="1" applyProtection="1">
      <alignment/>
      <protection/>
    </xf>
    <xf numFmtId="9" fontId="3" fillId="0" borderId="13" xfId="66" applyNumberFormat="1" applyFont="1" applyBorder="1" applyAlignment="1" applyProtection="1">
      <alignment horizontal="center"/>
      <protection/>
    </xf>
    <xf numFmtId="174" fontId="3" fillId="0" borderId="0" xfId="66" applyNumberFormat="1" applyFont="1" applyBorder="1" applyProtection="1">
      <alignment/>
      <protection/>
    </xf>
    <xf numFmtId="176" fontId="7" fillId="0" borderId="14" xfId="66" applyNumberFormat="1" applyFont="1" applyFill="1" applyBorder="1" applyProtection="1">
      <alignment/>
      <protection/>
    </xf>
    <xf numFmtId="0" fontId="3" fillId="0" borderId="14" xfId="66" applyFont="1" applyBorder="1" applyProtection="1">
      <alignment/>
      <protection/>
    </xf>
    <xf numFmtId="0" fontId="11" fillId="0" borderId="0" xfId="66" applyFont="1" applyFill="1" applyBorder="1" applyProtection="1">
      <alignment/>
      <protection/>
    </xf>
    <xf numFmtId="0" fontId="11" fillId="0" borderId="0" xfId="66" applyFont="1" applyFill="1" applyBorder="1" applyAlignment="1" applyProtection="1">
      <alignment horizontal="right"/>
      <protection/>
    </xf>
    <xf numFmtId="174" fontId="11" fillId="0" borderId="0" xfId="66" applyNumberFormat="1" applyFont="1" applyFill="1" applyBorder="1" applyProtection="1">
      <alignment/>
      <protection/>
    </xf>
    <xf numFmtId="0" fontId="3" fillId="0" borderId="0" xfId="66" applyFont="1" applyFill="1" applyBorder="1" applyAlignment="1" applyProtection="1">
      <alignment horizontal="right"/>
      <protection/>
    </xf>
    <xf numFmtId="174" fontId="3" fillId="0" borderId="0" xfId="66" applyNumberFormat="1" applyFont="1" applyFill="1" applyBorder="1" applyProtection="1">
      <alignment/>
      <protection/>
    </xf>
    <xf numFmtId="174" fontId="3" fillId="0" borderId="0" xfId="66" applyNumberFormat="1" applyFont="1" applyFill="1" applyBorder="1" applyAlignment="1" applyProtection="1">
      <alignment horizontal="left"/>
      <protection/>
    </xf>
    <xf numFmtId="0" fontId="2" fillId="0" borderId="0" xfId="66" applyFont="1" applyFill="1" applyBorder="1" applyProtection="1">
      <alignment/>
      <protection/>
    </xf>
    <xf numFmtId="0" fontId="2" fillId="0" borderId="0" xfId="66" applyFont="1" applyFill="1" applyBorder="1" applyAlignment="1" applyProtection="1">
      <alignment horizontal="right"/>
      <protection/>
    </xf>
    <xf numFmtId="174" fontId="2" fillId="0" borderId="0" xfId="66" applyNumberFormat="1" applyFont="1" applyFill="1" applyBorder="1" applyProtection="1">
      <alignment/>
      <protection/>
    </xf>
    <xf numFmtId="10" fontId="3" fillId="0" borderId="0" xfId="66" applyNumberFormat="1" applyFont="1" applyFill="1" applyBorder="1" applyAlignment="1" applyProtection="1">
      <alignment horizontal="right"/>
      <protection/>
    </xf>
    <xf numFmtId="0" fontId="18" fillId="34" borderId="0" xfId="69" applyFont="1" applyFill="1" applyBorder="1" applyProtection="1">
      <alignment/>
      <protection/>
    </xf>
    <xf numFmtId="0" fontId="18" fillId="0" borderId="0" xfId="69" applyFont="1" applyFill="1" applyBorder="1" applyProtection="1">
      <alignment/>
      <protection/>
    </xf>
    <xf numFmtId="9" fontId="3" fillId="0" borderId="0" xfId="66" applyNumberFormat="1" applyFont="1" applyFill="1" applyAlignment="1" applyProtection="1">
      <alignment horizontal="center"/>
      <protection/>
    </xf>
    <xf numFmtId="9" fontId="3" fillId="0" borderId="0" xfId="66" applyNumberFormat="1" applyFont="1" applyFill="1" applyBorder="1" applyAlignment="1" applyProtection="1">
      <alignment horizontal="center"/>
      <protection/>
    </xf>
    <xf numFmtId="9" fontId="3" fillId="0" borderId="13" xfId="66" applyNumberFormat="1" applyFont="1" applyFill="1" applyBorder="1" applyAlignment="1" applyProtection="1">
      <alignment horizontal="center"/>
      <protection/>
    </xf>
    <xf numFmtId="9" fontId="3" fillId="0" borderId="14" xfId="66" applyNumberFormat="1" applyFont="1" applyFill="1" applyBorder="1" applyAlignment="1" applyProtection="1">
      <alignment horizontal="center"/>
      <protection/>
    </xf>
    <xf numFmtId="0" fontId="2" fillId="34" borderId="0" xfId="69" applyFont="1" applyFill="1" applyAlignment="1" applyProtection="1">
      <alignment horizontal="left"/>
      <protection/>
    </xf>
    <xf numFmtId="3" fontId="13" fillId="0" borderId="0" xfId="69" applyNumberFormat="1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right" vertical="center"/>
      <protection/>
    </xf>
    <xf numFmtId="9" fontId="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Protection="1">
      <alignment/>
      <protection/>
    </xf>
    <xf numFmtId="0" fontId="5" fillId="0" borderId="0" xfId="69" applyFont="1" applyBorder="1" applyAlignment="1" applyProtection="1">
      <alignment horizontal="left"/>
      <protection/>
    </xf>
    <xf numFmtId="0" fontId="6" fillId="0" borderId="15" xfId="69" applyFont="1" applyFill="1" applyBorder="1" applyAlignment="1" applyProtection="1">
      <alignment vertical="center"/>
      <protection/>
    </xf>
    <xf numFmtId="0" fontId="13" fillId="0" borderId="11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vertical="center"/>
      <protection/>
    </xf>
    <xf numFmtId="1" fontId="10" fillId="34" borderId="15" xfId="69" applyNumberFormat="1" applyFont="1" applyFill="1" applyBorder="1" applyAlignment="1" applyProtection="1">
      <alignment horizontal="left" vertical="center"/>
      <protection/>
    </xf>
    <xf numFmtId="172" fontId="10" fillId="34" borderId="15" xfId="69" applyNumberFormat="1" applyFont="1" applyFill="1" applyBorder="1" applyAlignment="1" applyProtection="1">
      <alignment horizontal="left" vertical="center"/>
      <protection/>
    </xf>
    <xf numFmtId="0" fontId="10" fillId="34" borderId="15" xfId="69" applyFont="1" applyFill="1" applyBorder="1" applyAlignment="1" applyProtection="1">
      <alignment vertical="center"/>
      <protection/>
    </xf>
    <xf numFmtId="9" fontId="5" fillId="0" borderId="15" xfId="69" applyNumberFormat="1" applyFont="1" applyFill="1" applyBorder="1" applyAlignment="1" applyProtection="1">
      <alignment horizontal="right" vertical="center"/>
      <protection/>
    </xf>
    <xf numFmtId="1" fontId="5" fillId="0" borderId="16" xfId="69" applyNumberFormat="1" applyFont="1" applyFill="1" applyBorder="1" applyAlignment="1" applyProtection="1">
      <alignment horizontal="left"/>
      <protection/>
    </xf>
    <xf numFmtId="172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Alignment="1" applyProtection="1">
      <alignment/>
      <protection/>
    </xf>
    <xf numFmtId="9" fontId="5" fillId="0" borderId="16" xfId="69" applyNumberFormat="1" applyFont="1" applyFill="1" applyBorder="1" applyAlignment="1" applyProtection="1">
      <alignment horizontal="right"/>
      <protection/>
    </xf>
    <xf numFmtId="1" fontId="5" fillId="0" borderId="17" xfId="69" applyNumberFormat="1" applyFont="1" applyFill="1" applyBorder="1" applyAlignment="1" applyProtection="1">
      <alignment horizontal="left"/>
      <protection/>
    </xf>
    <xf numFmtId="172" fontId="5" fillId="0" borderId="17" xfId="69" applyNumberFormat="1" applyFont="1" applyFill="1" applyBorder="1" applyAlignment="1" applyProtection="1">
      <alignment horizontal="left"/>
      <protection/>
    </xf>
    <xf numFmtId="0" fontId="5" fillId="0" borderId="17" xfId="69" applyFont="1" applyFill="1" applyBorder="1" applyAlignment="1" applyProtection="1">
      <alignment/>
      <protection/>
    </xf>
    <xf numFmtId="9" fontId="5" fillId="0" borderId="17" xfId="69" applyNumberFormat="1" applyFont="1" applyFill="1" applyBorder="1" applyAlignment="1" applyProtection="1">
      <alignment horizontal="right"/>
      <protection/>
    </xf>
    <xf numFmtId="173" fontId="5" fillId="0" borderId="16" xfId="69" applyNumberFormat="1" applyFont="1" applyFill="1" applyBorder="1" applyAlignment="1" applyProtection="1">
      <alignment horizontal="left"/>
      <protection/>
    </xf>
    <xf numFmtId="0" fontId="5" fillId="0" borderId="16" xfId="69" applyFont="1" applyFill="1" applyBorder="1" applyProtection="1">
      <alignment/>
      <protection/>
    </xf>
    <xf numFmtId="0" fontId="5" fillId="0" borderId="17" xfId="69" applyFont="1" applyBorder="1" applyAlignment="1" applyProtection="1">
      <alignment horizontal="left"/>
      <protection/>
    </xf>
    <xf numFmtId="0" fontId="5" fillId="0" borderId="17" xfId="69" applyFont="1" applyBorder="1" applyProtection="1">
      <alignment/>
      <protection/>
    </xf>
    <xf numFmtId="9" fontId="5" fillId="0" borderId="18" xfId="69" applyNumberFormat="1" applyFont="1" applyBorder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 vertical="center"/>
      <protection/>
    </xf>
    <xf numFmtId="170" fontId="2" fillId="34" borderId="0" xfId="69" applyNumberFormat="1" applyFont="1" applyFill="1" applyBorder="1" applyAlignment="1" applyProtection="1">
      <alignment horizontal="right"/>
      <protection/>
    </xf>
    <xf numFmtId="170" fontId="3" fillId="0" borderId="0" xfId="66" applyNumberFormat="1" applyFont="1" applyProtection="1">
      <alignment/>
      <protection/>
    </xf>
    <xf numFmtId="170" fontId="2" fillId="0" borderId="0" xfId="66" applyNumberFormat="1" applyFont="1" applyBorder="1" applyProtection="1">
      <alignment/>
      <protection/>
    </xf>
    <xf numFmtId="170" fontId="3" fillId="0" borderId="13" xfId="66" applyNumberFormat="1" applyFont="1" applyBorder="1" applyProtection="1">
      <alignment/>
      <protection/>
    </xf>
    <xf numFmtId="170" fontId="2" fillId="0" borderId="0" xfId="66" applyNumberFormat="1" applyFont="1" applyFill="1" applyProtection="1">
      <alignment/>
      <protection/>
    </xf>
    <xf numFmtId="170" fontId="2" fillId="0" borderId="0" xfId="66" applyNumberFormat="1" applyFont="1" applyProtection="1">
      <alignment/>
      <protection/>
    </xf>
    <xf numFmtId="170" fontId="3" fillId="0" borderId="0" xfId="66" applyNumberFormat="1" applyFont="1" applyBorder="1" applyProtection="1">
      <alignment/>
      <protection/>
    </xf>
    <xf numFmtId="0" fontId="2" fillId="34" borderId="0" xfId="66" applyFont="1" applyFill="1" applyProtection="1">
      <alignment/>
      <protection/>
    </xf>
    <xf numFmtId="0" fontId="2" fillId="34" borderId="0" xfId="66" applyFont="1" applyFill="1" applyAlignment="1" applyProtection="1">
      <alignment horizontal="right"/>
      <protection/>
    </xf>
    <xf numFmtId="174" fontId="2" fillId="34" borderId="0" xfId="66" applyNumberFormat="1" applyFont="1" applyFill="1" applyProtection="1">
      <alignment/>
      <protection/>
    </xf>
    <xf numFmtId="0" fontId="3" fillId="34" borderId="0" xfId="66" applyFont="1" applyFill="1" applyProtection="1">
      <alignment/>
      <protection/>
    </xf>
    <xf numFmtId="177" fontId="19" fillId="34" borderId="0" xfId="66" applyNumberFormat="1" applyFont="1" applyFill="1" applyProtection="1">
      <alignment/>
      <protection/>
    </xf>
    <xf numFmtId="170" fontId="2" fillId="34" borderId="0" xfId="66" applyNumberFormat="1" applyFont="1" applyFill="1" applyProtection="1">
      <alignment/>
      <protection/>
    </xf>
    <xf numFmtId="4" fontId="3" fillId="34" borderId="0" xfId="66" applyNumberFormat="1" applyFont="1" applyFill="1" applyAlignment="1" applyProtection="1">
      <alignment vertical="center"/>
      <protection/>
    </xf>
    <xf numFmtId="3" fontId="5" fillId="0" borderId="0" xfId="69" applyNumberFormat="1" applyFont="1" applyFill="1" applyBorder="1" applyProtection="1">
      <alignment/>
      <protection/>
    </xf>
    <xf numFmtId="180" fontId="2" fillId="0" borderId="0" xfId="69" applyNumberFormat="1" applyFont="1" applyFill="1" applyBorder="1" applyAlignment="1" applyProtection="1">
      <alignment horizontal="right"/>
      <protection/>
    </xf>
    <xf numFmtId="4" fontId="3" fillId="0" borderId="0" xfId="66" applyNumberFormat="1" applyFont="1" applyFill="1" applyAlignment="1" applyProtection="1">
      <alignment vertical="center"/>
      <protection/>
    </xf>
    <xf numFmtId="0" fontId="21" fillId="0" borderId="15" xfId="69" applyFont="1" applyFill="1" applyBorder="1" applyAlignment="1" applyProtection="1">
      <alignment vertical="center"/>
      <protection/>
    </xf>
    <xf numFmtId="0" fontId="5" fillId="0" borderId="0" xfId="69" applyFont="1" applyFill="1" applyAlignment="1" applyProtection="1">
      <alignment horizontal="left"/>
      <protection/>
    </xf>
    <xf numFmtId="9" fontId="5" fillId="0" borderId="0" xfId="69" applyNumberFormat="1" applyFont="1" applyFill="1" applyAlignment="1" applyProtection="1">
      <alignment horizontal="right"/>
      <protection/>
    </xf>
    <xf numFmtId="3" fontId="3" fillId="34" borderId="0" xfId="66" applyNumberFormat="1" applyFont="1" applyFill="1" applyAlignment="1" applyProtection="1">
      <alignment vertical="center"/>
      <protection/>
    </xf>
    <xf numFmtId="186" fontId="3" fillId="0" borderId="0" xfId="66" applyNumberFormat="1" applyFont="1" applyFill="1" applyAlignment="1" applyProtection="1">
      <alignment vertical="center"/>
      <protection/>
    </xf>
    <xf numFmtId="0" fontId="0" fillId="0" borderId="0" xfId="0" applyNumberFormat="1" applyBorder="1" applyAlignment="1">
      <alignment/>
    </xf>
    <xf numFmtId="9" fontId="5" fillId="35" borderId="19" xfId="69" applyNumberFormat="1" applyFont="1" applyFill="1" applyBorder="1" applyAlignment="1" applyProtection="1">
      <alignment horizontal="right"/>
      <protection locked="0"/>
    </xf>
    <xf numFmtId="9" fontId="5" fillId="35" borderId="18" xfId="69" applyNumberFormat="1" applyFont="1" applyFill="1" applyBorder="1" applyAlignment="1" applyProtection="1">
      <alignment horizontal="right"/>
      <protection locked="0"/>
    </xf>
    <xf numFmtId="9" fontId="6" fillId="0" borderId="18" xfId="69" applyNumberFormat="1" applyFont="1" applyBorder="1" applyAlignment="1" applyProtection="1">
      <alignment horizontal="right"/>
      <protection/>
    </xf>
    <xf numFmtId="9" fontId="5" fillId="0" borderId="18" xfId="69" applyNumberFormat="1" applyFont="1" applyFill="1" applyBorder="1" applyAlignment="1" applyProtection="1">
      <alignment horizontal="right"/>
      <protection/>
    </xf>
    <xf numFmtId="0" fontId="10" fillId="0" borderId="0" xfId="69" applyFont="1" applyBorder="1" applyAlignment="1" applyProtection="1">
      <alignment horizontal="left"/>
      <protection/>
    </xf>
    <xf numFmtId="0" fontId="5" fillId="0" borderId="0" xfId="69" applyFont="1" applyFill="1" applyBorder="1" applyAlignment="1" applyProtection="1">
      <alignment horizontal="right"/>
      <protection/>
    </xf>
    <xf numFmtId="9" fontId="5" fillId="0" borderId="0" xfId="69" applyNumberFormat="1" applyFont="1" applyProtection="1">
      <alignment/>
      <protection/>
    </xf>
    <xf numFmtId="9" fontId="3" fillId="34" borderId="0" xfId="66" applyNumberFormat="1" applyFont="1" applyFill="1" applyProtection="1">
      <alignment/>
      <protection/>
    </xf>
    <xf numFmtId="0" fontId="5" fillId="0" borderId="0" xfId="69" applyFont="1" applyFill="1" applyBorder="1" applyAlignment="1" applyProtection="1">
      <alignment vertical="center"/>
      <protection/>
    </xf>
    <xf numFmtId="49" fontId="3" fillId="0" borderId="0" xfId="66" applyNumberFormat="1" applyFont="1" applyBorder="1" applyAlignment="1" applyProtection="1">
      <alignment vertical="center"/>
      <protection/>
    </xf>
    <xf numFmtId="0" fontId="25" fillId="0" borderId="0" xfId="66" applyFont="1" applyFill="1" applyAlignment="1" applyProtection="1">
      <alignment vertical="center"/>
      <protection/>
    </xf>
    <xf numFmtId="0" fontId="15" fillId="0" borderId="0" xfId="69" applyFont="1" applyFill="1" applyBorder="1" applyAlignment="1" applyProtection="1">
      <alignment vertical="center"/>
      <protection/>
    </xf>
    <xf numFmtId="0" fontId="2" fillId="34" borderId="0" xfId="69" applyFont="1" applyFill="1" applyAlignment="1" applyProtection="1">
      <alignment horizontal="left" vertical="center"/>
      <protection/>
    </xf>
    <xf numFmtId="0" fontId="18" fillId="34" borderId="0" xfId="69" applyFont="1" applyFill="1" applyBorder="1" applyAlignment="1" applyProtection="1">
      <alignment vertical="center"/>
      <protection/>
    </xf>
    <xf numFmtId="3" fontId="15" fillId="0" borderId="0" xfId="69" applyNumberFormat="1" applyFont="1" applyFill="1" applyBorder="1" applyAlignment="1" applyProtection="1">
      <alignment horizontal="right" vertical="center"/>
      <protection/>
    </xf>
    <xf numFmtId="9" fontId="2" fillId="34" borderId="0" xfId="69" applyNumberFormat="1" applyFont="1" applyFill="1" applyBorder="1" applyAlignment="1" applyProtection="1">
      <alignment vertical="center"/>
      <protection/>
    </xf>
    <xf numFmtId="0" fontId="18" fillId="0" borderId="0" xfId="6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" fontId="4" fillId="35" borderId="11" xfId="46" applyNumberFormat="1" applyFont="1" applyFill="1" applyBorder="1" applyAlignment="1" applyProtection="1">
      <alignment horizontal="center" vertical="center"/>
      <protection locked="0"/>
    </xf>
    <xf numFmtId="1" fontId="4" fillId="35" borderId="12" xfId="46" applyNumberFormat="1" applyFont="1" applyFill="1" applyBorder="1" applyAlignment="1" applyProtection="1">
      <alignment horizontal="center" vertical="center"/>
      <protection locked="0"/>
    </xf>
    <xf numFmtId="1" fontId="5" fillId="35" borderId="0" xfId="46" applyNumberFormat="1" applyFont="1" applyFill="1" applyBorder="1" applyAlignment="1" applyProtection="1">
      <alignment horizontal="center" vertical="center"/>
      <protection locked="0"/>
    </xf>
    <xf numFmtId="0" fontId="103" fillId="0" borderId="0" xfId="66" applyFont="1" applyFill="1" applyBorder="1" applyAlignment="1" applyProtection="1">
      <alignment vertical="center"/>
      <protection/>
    </xf>
    <xf numFmtId="188" fontId="3" fillId="35" borderId="0" xfId="66" applyNumberFormat="1" applyFont="1" applyFill="1" applyAlignment="1" applyProtection="1">
      <alignment vertical="center"/>
      <protection locked="0"/>
    </xf>
    <xf numFmtId="0" fontId="104" fillId="0" borderId="0" xfId="69" applyFont="1" applyFill="1" applyProtection="1">
      <alignment/>
      <protection/>
    </xf>
    <xf numFmtId="0" fontId="5" fillId="0" borderId="0" xfId="69" applyFont="1" applyFill="1" applyAlignment="1" applyProtection="1">
      <alignment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26" fillId="0" borderId="0" xfId="6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70" fontId="9" fillId="0" borderId="0" xfId="69" applyNumberFormat="1" applyFont="1" applyFill="1" applyBorder="1" applyAlignment="1" applyProtection="1">
      <alignment/>
      <protection/>
    </xf>
    <xf numFmtId="170" fontId="9" fillId="0" borderId="0" xfId="69" applyNumberFormat="1" applyFont="1" applyFill="1" applyBorder="1" applyAlignment="1" applyProtection="1">
      <alignment horizontal="right"/>
      <protection/>
    </xf>
    <xf numFmtId="170" fontId="5" fillId="0" borderId="0" xfId="69" applyNumberFormat="1" applyFont="1" applyFill="1" applyAlignment="1" applyProtection="1">
      <alignment horizontal="right"/>
      <protection/>
    </xf>
    <xf numFmtId="1" fontId="9" fillId="0" borderId="15" xfId="69" applyNumberFormat="1" applyFont="1" applyFill="1" applyBorder="1" applyAlignment="1" applyProtection="1">
      <alignment horizontal="left" vertical="center"/>
      <protection/>
    </xf>
    <xf numFmtId="172" fontId="9" fillId="0" borderId="15" xfId="69" applyNumberFormat="1" applyFont="1" applyFill="1" applyBorder="1" applyAlignment="1" applyProtection="1">
      <alignment horizontal="left" vertical="center"/>
      <protection/>
    </xf>
    <xf numFmtId="0" fontId="9" fillId="0" borderId="15" xfId="69" applyFont="1" applyFill="1" applyBorder="1" applyAlignment="1" applyProtection="1">
      <alignment vertical="center"/>
      <protection/>
    </xf>
    <xf numFmtId="170" fontId="9" fillId="0" borderId="15" xfId="69" applyNumberFormat="1" applyFont="1" applyFill="1" applyBorder="1" applyAlignment="1" applyProtection="1">
      <alignment/>
      <protection/>
    </xf>
    <xf numFmtId="0" fontId="3" fillId="0" borderId="0" xfId="66" applyFont="1" applyFill="1" applyProtection="1">
      <alignment/>
      <protection/>
    </xf>
    <xf numFmtId="3" fontId="14" fillId="0" borderId="20" xfId="69" applyNumberFormat="1" applyFont="1" applyFill="1" applyBorder="1" applyAlignment="1" applyProtection="1">
      <alignment vertical="center"/>
      <protection/>
    </xf>
    <xf numFmtId="3" fontId="14" fillId="0" borderId="0" xfId="69" applyNumberFormat="1" applyFont="1" applyFill="1" applyBorder="1" applyAlignment="1" applyProtection="1">
      <alignment vertical="center"/>
      <protection/>
    </xf>
    <xf numFmtId="184" fontId="3" fillId="0" borderId="0" xfId="66" applyNumberFormat="1" applyFont="1" applyFill="1" applyAlignment="1" applyProtection="1">
      <alignment horizontal="right"/>
      <protection/>
    </xf>
    <xf numFmtId="170" fontId="3" fillId="0" borderId="0" xfId="66" applyNumberFormat="1" applyFont="1" applyFill="1" applyProtection="1">
      <alignment/>
      <protection/>
    </xf>
    <xf numFmtId="196" fontId="13" fillId="0" borderId="0" xfId="69" applyNumberFormat="1" applyFont="1" applyFill="1" applyBorder="1" applyAlignment="1" applyProtection="1">
      <alignment vertical="center"/>
      <protection/>
    </xf>
    <xf numFmtId="184" fontId="3" fillId="0" borderId="13" xfId="66" applyNumberFormat="1" applyFont="1" applyBorder="1" applyAlignment="1" applyProtection="1">
      <alignment horizontal="center"/>
      <protection/>
    </xf>
    <xf numFmtId="184" fontId="3" fillId="0" borderId="14" xfId="66" applyNumberFormat="1" applyFont="1" applyBorder="1" applyAlignment="1" applyProtection="1">
      <alignment horizontal="center"/>
      <protection/>
    </xf>
    <xf numFmtId="0" fontId="3" fillId="34" borderId="0" xfId="66" applyFont="1" applyFill="1" applyAlignment="1" applyProtection="1">
      <alignment horizontal="right"/>
      <protection/>
    </xf>
    <xf numFmtId="196" fontId="9" fillId="0" borderId="0" xfId="69" applyNumberFormat="1" applyFont="1" applyFill="1" applyBorder="1" applyAlignment="1" applyProtection="1">
      <alignment horizontal="right" vertical="center"/>
      <protection/>
    </xf>
    <xf numFmtId="184" fontId="3" fillId="0" borderId="13" xfId="66" applyNumberFormat="1" applyFont="1" applyFill="1" applyBorder="1" applyAlignment="1" applyProtection="1">
      <alignment horizontal="center"/>
      <protection/>
    </xf>
    <xf numFmtId="184" fontId="3" fillId="0" borderId="0" xfId="66" applyNumberFormat="1" applyFont="1" applyFill="1" applyBorder="1" applyAlignment="1" applyProtection="1">
      <alignment horizontal="center"/>
      <protection/>
    </xf>
    <xf numFmtId="184" fontId="5" fillId="0" borderId="15" xfId="69" applyNumberFormat="1" applyFont="1" applyFill="1" applyBorder="1" applyAlignment="1" applyProtection="1">
      <alignment horizontal="right" vertical="center"/>
      <protection/>
    </xf>
    <xf numFmtId="184" fontId="5" fillId="0" borderId="0" xfId="69" applyNumberFormat="1" applyFont="1" applyFill="1" applyBorder="1" applyAlignment="1" applyProtection="1">
      <alignment horizontal="right"/>
      <protection/>
    </xf>
    <xf numFmtId="184" fontId="5" fillId="0" borderId="16" xfId="69" applyNumberFormat="1" applyFont="1" applyFill="1" applyBorder="1" applyAlignment="1" applyProtection="1">
      <alignment horizontal="right"/>
      <protection/>
    </xf>
    <xf numFmtId="184" fontId="5" fillId="0" borderId="17" xfId="69" applyNumberFormat="1" applyFont="1" applyFill="1" applyBorder="1" applyAlignment="1" applyProtection="1">
      <alignment horizontal="right"/>
      <protection/>
    </xf>
    <xf numFmtId="184" fontId="5" fillId="0" borderId="0" xfId="69" applyNumberFormat="1" applyFont="1" applyFill="1" applyBorder="1" applyAlignment="1" applyProtection="1">
      <alignment horizontal="right" vertical="center"/>
      <protection/>
    </xf>
    <xf numFmtId="184" fontId="2" fillId="34" borderId="0" xfId="69" applyNumberFormat="1" applyFont="1" applyFill="1" applyBorder="1" applyProtection="1">
      <alignment/>
      <protection/>
    </xf>
    <xf numFmtId="10" fontId="16" fillId="0" borderId="0" xfId="69" applyNumberFormat="1" applyFont="1" applyFill="1" applyBorder="1" applyAlignment="1" applyProtection="1">
      <alignment horizontal="right" vertical="center"/>
      <protection/>
    </xf>
    <xf numFmtId="3" fontId="16" fillId="0" borderId="0" xfId="69" applyNumberFormat="1" applyFont="1" applyFill="1" applyBorder="1" applyAlignment="1" applyProtection="1">
      <alignment horizontal="center" vertical="center"/>
      <protection/>
    </xf>
    <xf numFmtId="0" fontId="105" fillId="0" borderId="0" xfId="66" applyFont="1" applyFill="1" applyProtection="1">
      <alignment/>
      <protection/>
    </xf>
    <xf numFmtId="176" fontId="106" fillId="0" borderId="0" xfId="66" applyNumberFormat="1" applyFont="1" applyFill="1" applyBorder="1" applyProtection="1">
      <alignment/>
      <protection/>
    </xf>
    <xf numFmtId="170" fontId="2" fillId="34" borderId="0" xfId="66" applyNumberFormat="1" applyFont="1" applyFill="1" applyAlignment="1" applyProtection="1">
      <alignment horizontal="right"/>
      <protection/>
    </xf>
    <xf numFmtId="170" fontId="3" fillId="0" borderId="0" xfId="66" applyNumberFormat="1" applyFont="1" applyAlignment="1" applyProtection="1">
      <alignment horizontal="right"/>
      <protection/>
    </xf>
    <xf numFmtId="170" fontId="2" fillId="0" borderId="0" xfId="66" applyNumberFormat="1" applyFont="1" applyBorder="1" applyAlignment="1" applyProtection="1">
      <alignment horizontal="right"/>
      <protection/>
    </xf>
    <xf numFmtId="170" fontId="3" fillId="0" borderId="13" xfId="66" applyNumberFormat="1" applyFont="1" applyBorder="1" applyAlignment="1" applyProtection="1">
      <alignment horizontal="right"/>
      <protection/>
    </xf>
    <xf numFmtId="170" fontId="2" fillId="0" borderId="0" xfId="66" applyNumberFormat="1" applyFont="1" applyFill="1" applyAlignment="1" applyProtection="1">
      <alignment horizontal="right"/>
      <protection/>
    </xf>
    <xf numFmtId="170" fontId="2" fillId="0" borderId="0" xfId="66" applyNumberFormat="1" applyFont="1" applyAlignment="1" applyProtection="1">
      <alignment horizontal="right"/>
      <protection/>
    </xf>
    <xf numFmtId="170" fontId="3" fillId="0" borderId="0" xfId="66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 horizontal="right"/>
      <protection/>
    </xf>
    <xf numFmtId="170" fontId="9" fillId="0" borderId="0" xfId="69" applyNumberFormat="1" applyFont="1" applyBorder="1" applyAlignment="1" applyProtection="1">
      <alignment/>
      <protection/>
    </xf>
    <xf numFmtId="170" fontId="9" fillId="28" borderId="18" xfId="69" applyNumberFormat="1" applyFont="1" applyFill="1" applyBorder="1" applyAlignment="1" applyProtection="1">
      <alignment/>
      <protection/>
    </xf>
    <xf numFmtId="170" fontId="9" fillId="28" borderId="21" xfId="69" applyNumberFormat="1" applyFont="1" applyFill="1" applyBorder="1" applyAlignment="1" applyProtection="1">
      <alignment/>
      <protection/>
    </xf>
    <xf numFmtId="170" fontId="9" fillId="28" borderId="22" xfId="69" applyNumberFormat="1" applyFont="1" applyFill="1" applyBorder="1" applyAlignment="1" applyProtection="1">
      <alignment/>
      <protection/>
    </xf>
    <xf numFmtId="170" fontId="9" fillId="34" borderId="15" xfId="69" applyNumberFormat="1" applyFont="1" applyFill="1" applyBorder="1" applyAlignment="1" applyProtection="1">
      <alignment/>
      <protection/>
    </xf>
    <xf numFmtId="170" fontId="9" fillId="34" borderId="0" xfId="69" applyNumberFormat="1" applyFont="1" applyFill="1" applyBorder="1" applyAlignment="1" applyProtection="1">
      <alignment/>
      <protection/>
    </xf>
    <xf numFmtId="170" fontId="9" fillId="34" borderId="19" xfId="69" applyNumberFormat="1" applyFont="1" applyFill="1" applyBorder="1" applyAlignment="1" applyProtection="1">
      <alignment/>
      <protection/>
    </xf>
    <xf numFmtId="170" fontId="9" fillId="35" borderId="19" xfId="69" applyNumberFormat="1" applyFont="1" applyFill="1" applyBorder="1" applyAlignment="1" applyProtection="1">
      <alignment vertical="center"/>
      <protection locked="0"/>
    </xf>
    <xf numFmtId="170" fontId="9" fillId="0" borderId="18" xfId="69" applyNumberFormat="1" applyFont="1" applyFill="1" applyBorder="1" applyProtection="1">
      <alignment/>
      <protection/>
    </xf>
    <xf numFmtId="170" fontId="9" fillId="35" borderId="18" xfId="69" applyNumberFormat="1" applyFont="1" applyFill="1" applyBorder="1" applyAlignment="1" applyProtection="1">
      <alignment vertical="center"/>
      <protection locked="0"/>
    </xf>
    <xf numFmtId="170" fontId="9" fillId="34" borderId="18" xfId="69" applyNumberFormat="1" applyFont="1" applyFill="1" applyBorder="1" applyAlignment="1" applyProtection="1">
      <alignment vertical="center"/>
      <protection/>
    </xf>
    <xf numFmtId="170" fontId="9" fillId="35" borderId="18" xfId="69" applyNumberFormat="1" applyFont="1" applyFill="1" applyBorder="1" applyAlignment="1" applyProtection="1">
      <alignment/>
      <protection locked="0"/>
    </xf>
    <xf numFmtId="196" fontId="16" fillId="0" borderId="0" xfId="69" applyNumberFormat="1" applyFont="1" applyFill="1" applyBorder="1" applyAlignment="1" applyProtection="1">
      <alignment horizontal="right" vertical="center"/>
      <protection/>
    </xf>
    <xf numFmtId="3" fontId="14" fillId="0" borderId="0" xfId="69" applyNumberFormat="1" applyFont="1" applyFill="1" applyBorder="1" applyAlignment="1" applyProtection="1">
      <alignment horizontal="center" vertical="center"/>
      <protection locked="0"/>
    </xf>
    <xf numFmtId="0" fontId="105" fillId="35" borderId="0" xfId="66" applyFont="1" applyFill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" fontId="10" fillId="0" borderId="0" xfId="69" applyNumberFormat="1" applyFont="1" applyFill="1" applyBorder="1" applyAlignment="1" applyProtection="1">
      <alignment/>
      <protection/>
    </xf>
    <xf numFmtId="10" fontId="9" fillId="0" borderId="15" xfId="58" applyNumberFormat="1" applyFont="1" applyFill="1" applyBorder="1" applyAlignment="1" applyProtection="1">
      <alignment vertical="center"/>
      <protection/>
    </xf>
    <xf numFmtId="10" fontId="9" fillId="0" borderId="0" xfId="58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5" fillId="0" borderId="0" xfId="69" applyNumberFormat="1" applyFont="1" applyFill="1" applyBorder="1" applyAlignment="1" applyProtection="1">
      <alignment horizontal="center" vertical="center"/>
      <protection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2" fillId="34" borderId="13" xfId="67" applyFont="1" applyFill="1" applyBorder="1" applyAlignment="1" applyProtection="1">
      <alignment vertical="center"/>
      <protection/>
    </xf>
    <xf numFmtId="0" fontId="3" fillId="34" borderId="13" xfId="67" applyFont="1" applyFill="1" applyBorder="1" applyAlignment="1" applyProtection="1">
      <alignment horizontal="right" vertical="center"/>
      <protection/>
    </xf>
    <xf numFmtId="0" fontId="3" fillId="0" borderId="0" xfId="67" applyAlignment="1" applyProtection="1">
      <alignment vertical="center"/>
      <protection/>
    </xf>
    <xf numFmtId="0" fontId="3" fillId="0" borderId="0" xfId="67" applyFill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3" fillId="0" borderId="0" xfId="67" applyFill="1" applyBorder="1" applyAlignment="1" applyProtection="1">
      <alignment vertical="center"/>
      <protection/>
    </xf>
    <xf numFmtId="1" fontId="4" fillId="0" borderId="0" xfId="46" applyNumberFormat="1" applyFont="1" applyBorder="1" applyAlignment="1" applyProtection="1">
      <alignment horizontal="center" vertical="center"/>
      <protection/>
    </xf>
    <xf numFmtId="0" fontId="4" fillId="0" borderId="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1" fontId="4" fillId="0" borderId="0" xfId="46" applyNumberFormat="1" applyFont="1" applyFill="1" applyBorder="1" applyAlignment="1" applyProtection="1">
      <alignment horizontal="center" vertical="center"/>
      <protection/>
    </xf>
    <xf numFmtId="1" fontId="5" fillId="0" borderId="0" xfId="46" applyNumberFormat="1" applyFont="1" applyBorder="1" applyAlignment="1" applyProtection="1">
      <alignment horizontal="center" vertical="center"/>
      <protection/>
    </xf>
    <xf numFmtId="1" fontId="5" fillId="0" borderId="0" xfId="46" applyNumberFormat="1" applyFont="1" applyFill="1" applyBorder="1" applyAlignment="1" applyProtection="1">
      <alignment horizontal="center" vertical="center"/>
      <protection/>
    </xf>
    <xf numFmtId="1" fontId="5" fillId="34" borderId="0" xfId="46" applyNumberFormat="1" applyFont="1" applyFill="1" applyBorder="1" applyAlignment="1" applyProtection="1">
      <alignment horizontal="center" vertical="center"/>
      <protection/>
    </xf>
    <xf numFmtId="0" fontId="2" fillId="0" borderId="0" xfId="67" applyFont="1" applyAlignment="1" applyProtection="1">
      <alignment vertical="center"/>
      <protection/>
    </xf>
    <xf numFmtId="0" fontId="9" fillId="0" borderId="0" xfId="67" applyFont="1" applyAlignment="1" applyProtection="1">
      <alignment vertical="center"/>
      <protection/>
    </xf>
    <xf numFmtId="174" fontId="2" fillId="0" borderId="0" xfId="58" applyNumberFormat="1" applyFont="1" applyFill="1" applyAlignment="1" applyProtection="1">
      <alignment horizontal="right" vertical="center"/>
      <protection/>
    </xf>
    <xf numFmtId="0" fontId="3" fillId="0" borderId="11" xfId="67" applyFont="1" applyBorder="1" applyAlignment="1" applyProtection="1">
      <alignment vertical="center"/>
      <protection/>
    </xf>
    <xf numFmtId="0" fontId="3" fillId="0" borderId="11" xfId="67" applyFont="1" applyFill="1" applyBorder="1" applyAlignment="1" applyProtection="1">
      <alignment vertical="center"/>
      <protection/>
    </xf>
    <xf numFmtId="174" fontId="2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Border="1" applyAlignment="1" applyProtection="1">
      <alignment vertical="center"/>
      <protection/>
    </xf>
    <xf numFmtId="174" fontId="2" fillId="0" borderId="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vertical="center"/>
      <protection/>
    </xf>
    <xf numFmtId="0" fontId="107" fillId="0" borderId="0" xfId="67" applyFont="1" applyAlignment="1" applyProtection="1">
      <alignment vertical="center"/>
      <protection/>
    </xf>
    <xf numFmtId="10" fontId="3" fillId="0" borderId="0" xfId="67" applyNumberFormat="1" applyFont="1" applyFill="1" applyAlignment="1" applyProtection="1">
      <alignment horizontal="right" vertical="center"/>
      <protection/>
    </xf>
    <xf numFmtId="0" fontId="108" fillId="0" borderId="0" xfId="67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Alignment="1" applyProtection="1">
      <alignment horizontal="right" vertical="center"/>
      <protection/>
    </xf>
    <xf numFmtId="0" fontId="3" fillId="0" borderId="11" xfId="67" applyBorder="1" applyAlignment="1" applyProtection="1">
      <alignment vertical="center"/>
      <protection/>
    </xf>
    <xf numFmtId="0" fontId="107" fillId="0" borderId="11" xfId="67" applyFont="1" applyBorder="1" applyAlignment="1" applyProtection="1">
      <alignment vertical="center"/>
      <protection/>
    </xf>
    <xf numFmtId="10" fontId="3" fillId="0" borderId="11" xfId="67" applyNumberFormat="1" applyFont="1" applyFill="1" applyBorder="1" applyAlignment="1" applyProtection="1">
      <alignment horizontal="right" vertical="center"/>
      <protection/>
    </xf>
    <xf numFmtId="0" fontId="108" fillId="0" borderId="11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Alignment="1" applyProtection="1">
      <alignment horizontal="left" vertical="center"/>
      <protection/>
    </xf>
    <xf numFmtId="10" fontId="3" fillId="0" borderId="0" xfId="67" applyNumberFormat="1" applyFont="1" applyFill="1" applyBorder="1" applyAlignment="1" applyProtection="1">
      <alignment horizontal="right" vertical="center"/>
      <protection/>
    </xf>
    <xf numFmtId="177" fontId="3" fillId="0" borderId="20" xfId="67" applyNumberFormat="1" applyFont="1" applyFill="1" applyBorder="1" applyAlignment="1" applyProtection="1">
      <alignment horizontal="right" vertical="center"/>
      <protection/>
    </xf>
    <xf numFmtId="0" fontId="3" fillId="0" borderId="0" xfId="67" applyFont="1" applyFill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center"/>
      <protection/>
    </xf>
    <xf numFmtId="177" fontId="3" fillId="0" borderId="0" xfId="67" applyNumberFormat="1" applyFont="1" applyFill="1" applyAlignment="1" applyProtection="1">
      <alignment vertical="center"/>
      <protection/>
    </xf>
    <xf numFmtId="177" fontId="3" fillId="0" borderId="11" xfId="67" applyNumberFormat="1" applyFont="1" applyFill="1" applyBorder="1" applyAlignment="1" applyProtection="1">
      <alignment vertical="center"/>
      <protection/>
    </xf>
    <xf numFmtId="177" fontId="9" fillId="0" borderId="0" xfId="67" applyNumberFormat="1" applyFont="1" applyFill="1" applyBorder="1" applyAlignment="1" applyProtection="1">
      <alignment vertical="center"/>
      <protection/>
    </xf>
    <xf numFmtId="1" fontId="4" fillId="0" borderId="11" xfId="46" applyNumberFormat="1" applyFont="1" applyFill="1" applyBorder="1" applyAlignment="1" applyProtection="1">
      <alignment horizontal="center" vertical="center"/>
      <protection/>
    </xf>
    <xf numFmtId="1" fontId="4" fillId="0" borderId="12" xfId="46" applyNumberFormat="1" applyFont="1" applyFill="1" applyBorder="1" applyAlignment="1" applyProtection="1">
      <alignment horizontal="center" vertical="center"/>
      <protection/>
    </xf>
    <xf numFmtId="177" fontId="11" fillId="0" borderId="0" xfId="67" applyNumberFormat="1" applyFont="1" applyFill="1" applyAlignment="1" applyProtection="1">
      <alignment horizontal="right" vertical="center"/>
      <protection/>
    </xf>
    <xf numFmtId="10" fontId="2" fillId="0" borderId="0" xfId="58" applyNumberFormat="1" applyFont="1" applyFill="1" applyAlignment="1" applyProtection="1">
      <alignment horizontal="right" vertical="center"/>
      <protection/>
    </xf>
    <xf numFmtId="177" fontId="3" fillId="0" borderId="0" xfId="67" applyNumberFormat="1" applyFont="1" applyFill="1" applyBorder="1" applyAlignment="1" applyProtection="1">
      <alignment vertical="center"/>
      <protection/>
    </xf>
    <xf numFmtId="1" fontId="4" fillId="34" borderId="0" xfId="46" applyNumberFormat="1" applyFont="1" applyFill="1" applyBorder="1" applyAlignment="1" applyProtection="1">
      <alignment horizontal="center" vertical="center"/>
      <protection/>
    </xf>
    <xf numFmtId="196" fontId="16" fillId="0" borderId="0" xfId="69" applyNumberFormat="1" applyFont="1" applyFill="1" applyBorder="1" applyAlignment="1" applyProtection="1">
      <alignment vertical="center"/>
      <protection/>
    </xf>
    <xf numFmtId="184" fontId="9" fillId="0" borderId="0" xfId="58" applyNumberFormat="1" applyFont="1" applyFill="1" applyBorder="1" applyAlignment="1" applyProtection="1">
      <alignment vertical="center"/>
      <protection/>
    </xf>
    <xf numFmtId="0" fontId="109" fillId="36" borderId="0" xfId="66" applyFont="1" applyFill="1" applyBorder="1" applyProtection="1">
      <alignment/>
      <protection/>
    </xf>
    <xf numFmtId="174" fontId="109" fillId="36" borderId="0" xfId="66" applyNumberFormat="1" applyFont="1" applyFill="1" applyBorder="1" applyProtection="1">
      <alignment/>
      <protection/>
    </xf>
    <xf numFmtId="0" fontId="103" fillId="36" borderId="0" xfId="66" applyFont="1" applyFill="1" applyBorder="1" applyProtection="1">
      <alignment/>
      <protection/>
    </xf>
    <xf numFmtId="176" fontId="110" fillId="36" borderId="0" xfId="66" applyNumberFormat="1" applyFont="1" applyFill="1" applyBorder="1" applyProtection="1">
      <alignment/>
      <protection/>
    </xf>
    <xf numFmtId="9" fontId="103" fillId="36" borderId="0" xfId="66" applyNumberFormat="1" applyFont="1" applyFill="1" applyBorder="1" applyAlignment="1" applyProtection="1">
      <alignment horizontal="center"/>
      <protection/>
    </xf>
    <xf numFmtId="170" fontId="109" fillId="36" borderId="0" xfId="66" applyNumberFormat="1" applyFont="1" applyFill="1" applyBorder="1" applyProtection="1">
      <alignment/>
      <protection/>
    </xf>
    <xf numFmtId="170" fontId="9" fillId="0" borderId="19" xfId="69" applyNumberFormat="1" applyFont="1" applyFill="1" applyBorder="1" applyAlignment="1" applyProtection="1">
      <alignment/>
      <protection/>
    </xf>
    <xf numFmtId="0" fontId="109" fillId="36" borderId="0" xfId="69" applyFont="1" applyFill="1" applyAlignment="1" applyProtection="1">
      <alignment horizontal="left" vertical="center"/>
      <protection/>
    </xf>
    <xf numFmtId="0" fontId="111" fillId="36" borderId="0" xfId="69" applyFont="1" applyFill="1" applyBorder="1" applyAlignment="1" applyProtection="1">
      <alignment vertical="center"/>
      <protection/>
    </xf>
    <xf numFmtId="3" fontId="112" fillId="36" borderId="0" xfId="69" applyNumberFormat="1" applyFont="1" applyFill="1" applyBorder="1" applyAlignment="1" applyProtection="1">
      <alignment horizontal="center" vertical="center"/>
      <protection/>
    </xf>
    <xf numFmtId="170" fontId="109" fillId="36" borderId="23" xfId="69" applyNumberFormat="1" applyFont="1" applyFill="1" applyBorder="1" applyAlignment="1" applyProtection="1">
      <alignment horizontal="right" vertical="center"/>
      <protection/>
    </xf>
    <xf numFmtId="170" fontId="11" fillId="36" borderId="0" xfId="67" applyNumberFormat="1" applyFont="1" applyFill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right"/>
      <protection/>
    </xf>
    <xf numFmtId="0" fontId="109" fillId="36" borderId="0" xfId="66" applyFont="1" applyFill="1" applyBorder="1" applyAlignment="1" applyProtection="1">
      <alignment horizontal="right"/>
      <protection/>
    </xf>
    <xf numFmtId="170" fontId="109" fillId="36" borderId="0" xfId="66" applyNumberFormat="1" applyFont="1" applyFill="1" applyBorder="1" applyAlignment="1" applyProtection="1">
      <alignment horizontal="right"/>
      <protection/>
    </xf>
    <xf numFmtId="0" fontId="29" fillId="0" borderId="0" xfId="69" applyFont="1" applyFill="1" applyBorder="1" applyProtection="1">
      <alignment/>
      <protection/>
    </xf>
    <xf numFmtId="0" fontId="30" fillId="0" borderId="0" xfId="69" applyFont="1" applyAlignment="1" applyProtection="1">
      <alignment horizontal="left"/>
      <protection/>
    </xf>
    <xf numFmtId="0" fontId="29" fillId="0" borderId="0" xfId="69" applyFont="1" applyProtection="1">
      <alignment/>
      <protection/>
    </xf>
    <xf numFmtId="0" fontId="29" fillId="0" borderId="0" xfId="69" applyFont="1" applyFill="1" applyProtection="1">
      <alignment/>
      <protection/>
    </xf>
    <xf numFmtId="10" fontId="29" fillId="0" borderId="0" xfId="69" applyNumberFormat="1" applyFont="1" applyAlignment="1" applyProtection="1">
      <alignment horizontal="right"/>
      <protection/>
    </xf>
    <xf numFmtId="3" fontId="29" fillId="0" borderId="0" xfId="69" applyNumberFormat="1" applyFont="1" applyAlignment="1" applyProtection="1">
      <alignment horizontal="right"/>
      <protection/>
    </xf>
    <xf numFmtId="3" fontId="29" fillId="0" borderId="0" xfId="69" applyNumberFormat="1" applyFont="1" applyFill="1" applyAlignment="1" applyProtection="1">
      <alignment horizontal="right"/>
      <protection/>
    </xf>
    <xf numFmtId="0" fontId="113" fillId="0" borderId="0" xfId="0" applyFont="1" applyFill="1" applyBorder="1" applyAlignment="1">
      <alignment/>
    </xf>
    <xf numFmtId="0" fontId="111" fillId="36" borderId="0" xfId="69" applyFont="1" applyFill="1" applyBorder="1" applyProtection="1">
      <alignment/>
      <protection/>
    </xf>
    <xf numFmtId="3" fontId="112" fillId="36" borderId="0" xfId="69" applyNumberFormat="1" applyFont="1" applyFill="1" applyBorder="1" applyAlignment="1" applyProtection="1">
      <alignment horizontal="center"/>
      <protection/>
    </xf>
    <xf numFmtId="170" fontId="109" fillId="36" borderId="23" xfId="69" applyNumberFormat="1" applyFont="1" applyFill="1" applyBorder="1" applyAlignment="1" applyProtection="1">
      <alignment horizontal="right"/>
      <protection/>
    </xf>
    <xf numFmtId="10" fontId="29" fillId="0" borderId="0" xfId="58" applyNumberFormat="1" applyFont="1" applyAlignment="1" applyProtection="1">
      <alignment/>
      <protection/>
    </xf>
    <xf numFmtId="9" fontId="3" fillId="34" borderId="0" xfId="69" applyNumberFormat="1" applyFont="1" applyFill="1" applyBorder="1" applyProtection="1">
      <alignment/>
      <protection/>
    </xf>
    <xf numFmtId="10" fontId="114" fillId="0" borderId="0" xfId="69" applyNumberFormat="1" applyFont="1" applyFill="1" applyProtection="1">
      <alignment/>
      <protection/>
    </xf>
    <xf numFmtId="170" fontId="9" fillId="34" borderId="18" xfId="69" applyNumberFormat="1" applyFont="1" applyFill="1" applyBorder="1" applyAlignment="1" applyProtection="1">
      <alignment/>
      <protection/>
    </xf>
    <xf numFmtId="170" fontId="9" fillId="34" borderId="24" xfId="69" applyNumberFormat="1" applyFont="1" applyFill="1" applyBorder="1" applyAlignment="1" applyProtection="1">
      <alignment/>
      <protection/>
    </xf>
    <xf numFmtId="170" fontId="109" fillId="36" borderId="0" xfId="67" applyNumberFormat="1" applyFont="1" applyFill="1" applyAlignment="1" applyProtection="1">
      <alignment horizontal="right" vertical="center"/>
      <protection/>
    </xf>
    <xf numFmtId="10" fontId="5" fillId="0" borderId="15" xfId="69" applyNumberFormat="1" applyFont="1" applyFill="1" applyBorder="1" applyAlignment="1" applyProtection="1">
      <alignment horizontal="right" vertical="center"/>
      <protection/>
    </xf>
    <xf numFmtId="10" fontId="5" fillId="0" borderId="16" xfId="69" applyNumberFormat="1" applyFont="1" applyFill="1" applyBorder="1" applyAlignment="1" applyProtection="1">
      <alignment horizontal="right"/>
      <protection/>
    </xf>
    <xf numFmtId="10" fontId="5" fillId="0" borderId="17" xfId="69" applyNumberFormat="1" applyFont="1" applyFill="1" applyBorder="1" applyAlignment="1" applyProtection="1">
      <alignment horizontal="right"/>
      <protection/>
    </xf>
    <xf numFmtId="10" fontId="5" fillId="0" borderId="0" xfId="69" applyNumberFormat="1" applyFont="1" applyFill="1" applyBorder="1" applyAlignment="1" applyProtection="1">
      <alignment horizontal="right" vertical="center"/>
      <protection/>
    </xf>
    <xf numFmtId="10" fontId="2" fillId="34" borderId="0" xfId="69" applyNumberFormat="1" applyFont="1" applyFill="1" applyBorder="1" applyProtection="1">
      <alignment/>
      <protection/>
    </xf>
    <xf numFmtId="10" fontId="5" fillId="0" borderId="15" xfId="58" applyNumberFormat="1" applyFont="1" applyFill="1" applyBorder="1" applyAlignment="1" applyProtection="1">
      <alignment vertical="center"/>
      <protection/>
    </xf>
    <xf numFmtId="10" fontId="5" fillId="0" borderId="25" xfId="58" applyNumberFormat="1" applyFont="1" applyFill="1" applyBorder="1" applyAlignment="1" applyProtection="1">
      <alignment vertical="center"/>
      <protection/>
    </xf>
    <xf numFmtId="10" fontId="5" fillId="0" borderId="0" xfId="69" applyNumberFormat="1" applyFont="1" applyFill="1" applyProtection="1">
      <alignment/>
      <protection/>
    </xf>
    <xf numFmtId="10" fontId="105" fillId="0" borderId="0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Border="1" applyAlignment="1" applyProtection="1">
      <alignment horizontal="center"/>
      <protection/>
    </xf>
    <xf numFmtId="10" fontId="3" fillId="35" borderId="0" xfId="66" applyNumberFormat="1" applyFont="1" applyFill="1" applyAlignment="1" applyProtection="1">
      <alignment horizontal="right"/>
      <protection locked="0"/>
    </xf>
    <xf numFmtId="10" fontId="3" fillId="0" borderId="13" xfId="66" applyNumberFormat="1" applyFont="1" applyBorder="1" applyAlignment="1" applyProtection="1">
      <alignment horizontal="center"/>
      <protection/>
    </xf>
    <xf numFmtId="10" fontId="3" fillId="0" borderId="14" xfId="66" applyNumberFormat="1" applyFont="1" applyBorder="1" applyAlignment="1" applyProtection="1">
      <alignment horizontal="center"/>
      <protection/>
    </xf>
    <xf numFmtId="10" fontId="3" fillId="0" borderId="0" xfId="66" applyNumberFormat="1" applyFont="1" applyAlignment="1" applyProtection="1">
      <alignment horizontal="center"/>
      <protection/>
    </xf>
    <xf numFmtId="10" fontId="103" fillId="36" borderId="0" xfId="66" applyNumberFormat="1" applyFont="1" applyFill="1" applyBorder="1" applyAlignment="1" applyProtection="1">
      <alignment horizontal="center"/>
      <protection/>
    </xf>
    <xf numFmtId="10" fontId="3" fillId="35" borderId="19" xfId="67" applyNumberFormat="1" applyFont="1" applyFill="1" applyBorder="1" applyAlignment="1" applyProtection="1">
      <alignment horizontal="right" vertical="center"/>
      <protection locked="0"/>
    </xf>
    <xf numFmtId="10" fontId="3" fillId="35" borderId="18" xfId="67" applyNumberFormat="1" applyFont="1" applyFill="1" applyBorder="1" applyAlignment="1" applyProtection="1">
      <alignment horizontal="right" vertical="center"/>
      <protection locked="0"/>
    </xf>
    <xf numFmtId="10" fontId="3" fillId="35" borderId="26" xfId="67" applyNumberFormat="1" applyFont="1" applyFill="1" applyBorder="1" applyAlignment="1" applyProtection="1">
      <alignment horizontal="right" vertical="center"/>
      <protection locked="0"/>
    </xf>
    <xf numFmtId="10" fontId="3" fillId="0" borderId="20" xfId="67" applyNumberFormat="1" applyFont="1" applyFill="1" applyBorder="1" applyAlignment="1" applyProtection="1">
      <alignment horizontal="right" vertical="center"/>
      <protection/>
    </xf>
    <xf numFmtId="10" fontId="5" fillId="0" borderId="0" xfId="69" applyNumberFormat="1" applyFont="1" applyProtection="1">
      <alignment/>
      <protection/>
    </xf>
    <xf numFmtId="10" fontId="3" fillId="34" borderId="0" xfId="66" applyNumberFormat="1" applyFont="1" applyFill="1" applyProtection="1">
      <alignment/>
      <protection/>
    </xf>
    <xf numFmtId="10" fontId="3" fillId="0" borderId="13" xfId="66" applyNumberFormat="1" applyFont="1" applyFill="1" applyBorder="1" applyAlignment="1" applyProtection="1">
      <alignment horizontal="center"/>
      <protection/>
    </xf>
    <xf numFmtId="10" fontId="3" fillId="0" borderId="0" xfId="66" applyNumberFormat="1" applyFont="1" applyFill="1" applyAlignment="1" applyProtection="1">
      <alignment horizontal="center"/>
      <protection/>
    </xf>
    <xf numFmtId="10" fontId="3" fillId="0" borderId="0" xfId="66" applyNumberFormat="1" applyFont="1" applyFill="1" applyBorder="1" applyAlignment="1" applyProtection="1">
      <alignment horizontal="center"/>
      <protection/>
    </xf>
    <xf numFmtId="10" fontId="115" fillId="0" borderId="0" xfId="69" applyNumberFormat="1" applyFont="1" applyFill="1" applyProtection="1">
      <alignment/>
      <protection/>
    </xf>
    <xf numFmtId="0" fontId="115" fillId="0" borderId="0" xfId="69" applyFont="1" applyFill="1" applyProtection="1">
      <alignment/>
      <protection/>
    </xf>
    <xf numFmtId="0" fontId="9" fillId="0" borderId="0" xfId="69" applyFont="1" applyFill="1" applyBorder="1" applyAlignment="1" applyProtection="1">
      <alignment vertical="center"/>
      <protection/>
    </xf>
    <xf numFmtId="198" fontId="9" fillId="35" borderId="27" xfId="69" applyNumberFormat="1" applyFont="1" applyFill="1" applyBorder="1" applyProtection="1">
      <alignment/>
      <protection locked="0"/>
    </xf>
    <xf numFmtId="199" fontId="3" fillId="35" borderId="0" xfId="67" applyNumberFormat="1" applyFont="1" applyFill="1" applyAlignment="1" applyProtection="1">
      <alignment horizontal="right" vertical="center"/>
      <protection locked="0"/>
    </xf>
    <xf numFmtId="1" fontId="5" fillId="0" borderId="0" xfId="46" applyNumberFormat="1" applyFont="1" applyFill="1" applyBorder="1" applyAlignment="1" applyProtection="1">
      <alignment horizontal="center" vertical="center"/>
      <protection locked="0"/>
    </xf>
    <xf numFmtId="0" fontId="5" fillId="0" borderId="0" xfId="69" applyFont="1" applyFill="1" applyBorder="1" applyAlignment="1" applyProtection="1">
      <alignment/>
      <protection/>
    </xf>
    <xf numFmtId="200" fontId="2" fillId="34" borderId="0" xfId="58" applyNumberFormat="1" applyFont="1" applyFill="1" applyAlignment="1" applyProtection="1">
      <alignment horizontal="right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9" fontId="5" fillId="35" borderId="0" xfId="69" applyNumberFormat="1" applyFont="1" applyFill="1" applyBorder="1" applyAlignment="1" applyProtection="1">
      <alignment horizontal="right"/>
      <protection locked="0"/>
    </xf>
    <xf numFmtId="9" fontId="5" fillId="0" borderId="0" xfId="69" applyNumberFormat="1" applyFont="1" applyBorder="1" applyAlignment="1" applyProtection="1">
      <alignment horizontal="right"/>
      <protection/>
    </xf>
    <xf numFmtId="3" fontId="5" fillId="28" borderId="0" xfId="69" applyNumberFormat="1" applyFont="1" applyFill="1" applyProtection="1">
      <alignment/>
      <protection/>
    </xf>
    <xf numFmtId="170" fontId="16" fillId="0" borderId="0" xfId="69" applyNumberFormat="1" applyFont="1" applyFill="1" applyBorder="1" applyAlignment="1" applyProtection="1">
      <alignment/>
      <protection/>
    </xf>
    <xf numFmtId="9" fontId="6" fillId="0" borderId="0" xfId="69" applyNumberFormat="1" applyFont="1" applyBorder="1" applyAlignment="1" applyProtection="1">
      <alignment horizontal="right"/>
      <protection/>
    </xf>
    <xf numFmtId="9" fontId="5" fillId="34" borderId="0" xfId="69" applyNumberFormat="1" applyFont="1" applyFill="1" applyBorder="1" applyAlignment="1" applyProtection="1">
      <alignment horizontal="right"/>
      <protection/>
    </xf>
    <xf numFmtId="9" fontId="35" fillId="0" borderId="0" xfId="69" applyNumberFormat="1" applyFont="1" applyFill="1" applyBorder="1" applyAlignment="1" applyProtection="1">
      <alignment horizontal="center"/>
      <protection/>
    </xf>
    <xf numFmtId="200" fontId="116" fillId="37" borderId="0" xfId="58" applyNumberFormat="1" applyFont="1" applyFill="1" applyAlignment="1" applyProtection="1">
      <alignment horizontal="right" vertical="center"/>
      <protection/>
    </xf>
    <xf numFmtId="200" fontId="2" fillId="34" borderId="0" xfId="67" applyNumberFormat="1" applyFont="1" applyFill="1" applyAlignment="1" applyProtection="1">
      <alignment horizontal="right" vertical="center"/>
      <protection/>
    </xf>
    <xf numFmtId="177" fontId="3" fillId="0" borderId="28" xfId="67" applyNumberFormat="1" applyFont="1" applyFill="1" applyBorder="1" applyAlignment="1" applyProtection="1">
      <alignment vertical="center"/>
      <protection/>
    </xf>
    <xf numFmtId="177" fontId="3" fillId="0" borderId="29" xfId="67" applyNumberFormat="1" applyFont="1" applyFill="1" applyBorder="1" applyAlignment="1" applyProtection="1">
      <alignment vertical="center"/>
      <protection/>
    </xf>
    <xf numFmtId="177" fontId="9" fillId="0" borderId="20" xfId="67" applyNumberFormat="1" applyFont="1" applyFill="1" applyBorder="1" applyAlignment="1" applyProtection="1">
      <alignment vertical="center"/>
      <protection/>
    </xf>
    <xf numFmtId="177" fontId="32" fillId="0" borderId="28" xfId="67" applyNumberFormat="1" applyFont="1" applyFill="1" applyBorder="1" applyAlignment="1" applyProtection="1">
      <alignment vertical="center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29" fillId="0" borderId="0" xfId="69" applyFont="1" applyFill="1" applyBorder="1" applyAlignment="1" applyProtection="1">
      <alignment vertical="center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15" xfId="69" applyNumberFormat="1" applyFont="1" applyFill="1" applyBorder="1" applyProtection="1">
      <alignment/>
      <protection locked="0"/>
    </xf>
    <xf numFmtId="199" fontId="3" fillId="0" borderId="15" xfId="67" applyNumberFormat="1" applyFont="1" applyFill="1" applyBorder="1" applyAlignment="1" applyProtection="1">
      <alignment horizontal="right" vertical="center"/>
      <protection locked="0"/>
    </xf>
    <xf numFmtId="170" fontId="9" fillId="35" borderId="19" xfId="66" applyNumberFormat="1" applyFont="1" applyFill="1" applyBorder="1" applyAlignment="1" applyProtection="1">
      <alignment vertical="center"/>
      <protection/>
    </xf>
    <xf numFmtId="0" fontId="9" fillId="0" borderId="30" xfId="69" applyFont="1" applyFill="1" applyBorder="1" applyAlignment="1" applyProtection="1">
      <alignment vertical="center"/>
      <protection/>
    </xf>
    <xf numFmtId="184" fontId="5" fillId="0" borderId="30" xfId="69" applyNumberFormat="1" applyFont="1" applyFill="1" applyBorder="1" applyAlignment="1" applyProtection="1">
      <alignment horizontal="right" vertical="center"/>
      <protection/>
    </xf>
    <xf numFmtId="198" fontId="9" fillId="0" borderId="30" xfId="69" applyNumberFormat="1" applyFont="1" applyFill="1" applyBorder="1" applyProtection="1">
      <alignment/>
      <protection locked="0"/>
    </xf>
    <xf numFmtId="199" fontId="3" fillId="0" borderId="30" xfId="67" applyNumberFormat="1" applyFont="1" applyFill="1" applyBorder="1" applyAlignment="1" applyProtection="1">
      <alignment horizontal="right" vertical="center"/>
      <protection locked="0"/>
    </xf>
    <xf numFmtId="0" fontId="9" fillId="0" borderId="25" xfId="69" applyFont="1" applyFill="1" applyBorder="1" applyAlignment="1" applyProtection="1">
      <alignment vertical="center"/>
      <protection/>
    </xf>
    <xf numFmtId="184" fontId="5" fillId="0" borderId="25" xfId="69" applyNumberFormat="1" applyFont="1" applyFill="1" applyBorder="1" applyAlignment="1" applyProtection="1">
      <alignment horizontal="right" vertical="center"/>
      <protection/>
    </xf>
    <xf numFmtId="198" fontId="9" fillId="0" borderId="25" xfId="69" applyNumberFormat="1" applyFont="1" applyFill="1" applyBorder="1" applyProtection="1">
      <alignment/>
      <protection locked="0"/>
    </xf>
    <xf numFmtId="199" fontId="3" fillId="0" borderId="25" xfId="67" applyNumberFormat="1" applyFont="1" applyFill="1" applyBorder="1" applyAlignment="1" applyProtection="1">
      <alignment horizontal="right" vertical="center"/>
      <protection locked="0"/>
    </xf>
    <xf numFmtId="0" fontId="9" fillId="0" borderId="16" xfId="69" applyFont="1" applyFill="1" applyBorder="1" applyAlignment="1" applyProtection="1">
      <alignment vertical="center"/>
      <protection/>
    </xf>
    <xf numFmtId="184" fontId="5" fillId="0" borderId="16" xfId="69" applyNumberFormat="1" applyFont="1" applyFill="1" applyBorder="1" applyAlignment="1" applyProtection="1">
      <alignment horizontal="right" vertical="center"/>
      <protection/>
    </xf>
    <xf numFmtId="198" fontId="9" fillId="0" borderId="16" xfId="69" applyNumberFormat="1" applyFont="1" applyFill="1" applyBorder="1" applyProtection="1">
      <alignment/>
      <protection locked="0"/>
    </xf>
    <xf numFmtId="199" fontId="3" fillId="0" borderId="16" xfId="67" applyNumberFormat="1" applyFont="1" applyFill="1" applyBorder="1" applyAlignment="1" applyProtection="1">
      <alignment horizontal="right" vertical="center"/>
      <protection locked="0"/>
    </xf>
    <xf numFmtId="0" fontId="29" fillId="0" borderId="30" xfId="69" applyFont="1" applyFill="1" applyBorder="1" applyAlignment="1" applyProtection="1">
      <alignment vertical="center"/>
      <protection/>
    </xf>
    <xf numFmtId="172" fontId="9" fillId="0" borderId="0" xfId="69" applyNumberFormat="1" applyFont="1" applyFill="1" applyBorder="1" applyAlignment="1" applyProtection="1">
      <alignment horizontal="left" vertical="center"/>
      <protection/>
    </xf>
    <xf numFmtId="198" fontId="9" fillId="0" borderId="0" xfId="69" applyNumberFormat="1" applyFont="1" applyFill="1" applyBorder="1" applyProtection="1">
      <alignment/>
      <protection locked="0"/>
    </xf>
    <xf numFmtId="199" fontId="3" fillId="0" borderId="0" xfId="67" applyNumberFormat="1" applyFont="1" applyFill="1" applyBorder="1" applyAlignment="1" applyProtection="1">
      <alignment horizontal="right" vertical="center"/>
      <protection locked="0"/>
    </xf>
    <xf numFmtId="170" fontId="9" fillId="0" borderId="0" xfId="66" applyNumberFormat="1" applyFont="1" applyFill="1" applyBorder="1" applyAlignment="1" applyProtection="1">
      <alignment vertical="center"/>
      <protection/>
    </xf>
    <xf numFmtId="170" fontId="3" fillId="0" borderId="0" xfId="66" applyNumberFormat="1" applyFont="1" applyFill="1" applyAlignment="1" applyProtection="1">
      <alignment/>
      <protection/>
    </xf>
    <xf numFmtId="172" fontId="10" fillId="0" borderId="0" xfId="69" applyNumberFormat="1" applyFont="1" applyFill="1" applyBorder="1" applyAlignment="1" applyProtection="1">
      <alignment horizontal="left" vertical="center"/>
      <protection/>
    </xf>
    <xf numFmtId="0" fontId="10" fillId="0" borderId="0" xfId="69" applyFont="1" applyFill="1" applyBorder="1" applyAlignment="1" applyProtection="1">
      <alignment vertical="center"/>
      <protection/>
    </xf>
    <xf numFmtId="9" fontId="5" fillId="0" borderId="0" xfId="69" applyNumberFormat="1" applyFont="1" applyFill="1" applyBorder="1" applyAlignment="1" applyProtection="1">
      <alignment horizontal="right"/>
      <protection locked="0"/>
    </xf>
    <xf numFmtId="177" fontId="19" fillId="0" borderId="0" xfId="66" applyNumberFormat="1" applyFont="1" applyFill="1" applyProtection="1">
      <alignment/>
      <protection/>
    </xf>
    <xf numFmtId="3" fontId="14" fillId="0" borderId="0" xfId="69" applyNumberFormat="1" applyFont="1" applyFill="1" applyAlignment="1" applyProtection="1">
      <alignment horizontal="right"/>
      <protection/>
    </xf>
    <xf numFmtId="10" fontId="14" fillId="0" borderId="0" xfId="69" applyNumberFormat="1" applyFont="1" applyFill="1" applyBorder="1" applyAlignment="1" applyProtection="1">
      <alignment horizontal="left" wrapText="1"/>
      <protection/>
    </xf>
    <xf numFmtId="0" fontId="10" fillId="34" borderId="0" xfId="69" applyFont="1" applyFill="1" applyBorder="1" applyAlignment="1" applyProtection="1">
      <alignment horizontal="left"/>
      <protection/>
    </xf>
    <xf numFmtId="0" fontId="13" fillId="34" borderId="0" xfId="69" applyFont="1" applyFill="1" applyBorder="1" applyAlignment="1" applyProtection="1">
      <alignment vertical="center"/>
      <protection/>
    </xf>
    <xf numFmtId="0" fontId="6" fillId="34" borderId="0" xfId="69" applyFont="1" applyFill="1" applyBorder="1" applyAlignment="1" applyProtection="1">
      <alignment vertical="center"/>
      <protection/>
    </xf>
    <xf numFmtId="0" fontId="117" fillId="0" borderId="0" xfId="69" applyFont="1" applyFill="1" applyBorder="1" applyAlignment="1" applyProtection="1">
      <alignment vertical="center"/>
      <protection/>
    </xf>
    <xf numFmtId="0" fontId="10" fillId="0" borderId="0" xfId="69" applyFont="1" applyFill="1" applyBorder="1" applyAlignment="1" applyProtection="1">
      <alignment horizontal="left"/>
      <protection/>
    </xf>
    <xf numFmtId="0" fontId="10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201" fontId="117" fillId="0" borderId="0" xfId="69" applyNumberFormat="1" applyFont="1" applyFill="1" applyBorder="1" applyAlignment="1" applyProtection="1">
      <alignment vertical="center"/>
      <protection/>
    </xf>
    <xf numFmtId="1" fontId="5" fillId="0" borderId="0" xfId="69" applyNumberFormat="1" applyFont="1" applyFill="1" applyBorder="1" applyAlignment="1" applyProtection="1">
      <alignment horizontal="center" vertical="center"/>
      <protection/>
    </xf>
    <xf numFmtId="196" fontId="4" fillId="0" borderId="0" xfId="69" applyNumberFormat="1" applyFont="1" applyFill="1" applyBorder="1" applyAlignment="1" applyProtection="1">
      <alignment horizontal="center" vertical="center"/>
      <protection/>
    </xf>
    <xf numFmtId="0" fontId="9" fillId="0" borderId="11" xfId="69" applyFont="1" applyFill="1" applyBorder="1" applyAlignment="1" applyProtection="1">
      <alignment vertical="center"/>
      <protection/>
    </xf>
    <xf numFmtId="197" fontId="5" fillId="0" borderId="11" xfId="69" applyNumberFormat="1" applyFont="1" applyFill="1" applyBorder="1" applyAlignment="1" applyProtection="1">
      <alignment horizontal="center" vertical="center"/>
      <protection/>
    </xf>
    <xf numFmtId="0" fontId="5" fillId="0" borderId="11" xfId="69" applyFont="1" applyFill="1" applyBorder="1" applyAlignment="1" applyProtection="1">
      <alignment horizontal="center" vertical="center"/>
      <protection/>
    </xf>
    <xf numFmtId="196" fontId="5" fillId="34" borderId="11" xfId="69" applyNumberFormat="1" applyFont="1" applyFill="1" applyBorder="1" applyAlignment="1" applyProtection="1">
      <alignment vertical="center"/>
      <protection/>
    </xf>
    <xf numFmtId="3" fontId="9" fillId="0" borderId="0" xfId="69" applyNumberFormat="1" applyFont="1" applyFill="1" applyBorder="1" applyAlignment="1" applyProtection="1">
      <alignment horizontal="right" vertical="center"/>
      <protection/>
    </xf>
    <xf numFmtId="0" fontId="9" fillId="0" borderId="12" xfId="69" applyFont="1" applyFill="1" applyBorder="1" applyAlignment="1" applyProtection="1">
      <alignment vertical="center"/>
      <protection/>
    </xf>
    <xf numFmtId="197" fontId="5" fillId="0" borderId="12" xfId="69" applyNumberFormat="1" applyFont="1" applyFill="1" applyBorder="1" applyAlignment="1" applyProtection="1">
      <alignment horizontal="center" vertical="center"/>
      <protection/>
    </xf>
    <xf numFmtId="0" fontId="5" fillId="0" borderId="12" xfId="69" applyFont="1" applyFill="1" applyBorder="1" applyAlignment="1" applyProtection="1">
      <alignment horizontal="center" vertical="center"/>
      <protection/>
    </xf>
    <xf numFmtId="196" fontId="5" fillId="34" borderId="12" xfId="69" applyNumberFormat="1" applyFont="1" applyFill="1" applyBorder="1" applyAlignment="1" applyProtection="1">
      <alignment vertical="center"/>
      <protection/>
    </xf>
    <xf numFmtId="0" fontId="4" fillId="0" borderId="20" xfId="46" applyFont="1" applyBorder="1" applyAlignment="1" applyProtection="1">
      <alignment horizontal="center"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0" fontId="8" fillId="0" borderId="0" xfId="46" applyFont="1" applyFill="1" applyBorder="1" applyAlignment="1">
      <alignment horizontal="center" vertical="center"/>
    </xf>
    <xf numFmtId="3" fontId="5" fillId="0" borderId="0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196" fontId="5" fillId="34" borderId="0" xfId="69" applyNumberFormat="1" applyFont="1" applyFill="1" applyBorder="1" applyAlignment="1" applyProtection="1">
      <alignment vertical="center"/>
      <protection/>
    </xf>
    <xf numFmtId="10" fontId="9" fillId="0" borderId="0" xfId="69" applyNumberFormat="1" applyFont="1" applyFill="1" applyBorder="1" applyAlignment="1" applyProtection="1">
      <alignment horizontal="right" vertical="center"/>
      <protection/>
    </xf>
    <xf numFmtId="3" fontId="9" fillId="0" borderId="0" xfId="69" applyNumberFormat="1" applyFont="1" applyFill="1" applyBorder="1" applyAlignment="1" applyProtection="1">
      <alignment horizontal="center" vertical="center"/>
      <protection/>
    </xf>
    <xf numFmtId="10" fontId="9" fillId="0" borderId="0" xfId="69" applyNumberFormat="1" applyFont="1" applyFill="1" applyBorder="1" applyAlignment="1" applyProtection="1">
      <alignment horizontal="center" vertical="center"/>
      <protection/>
    </xf>
    <xf numFmtId="1" fontId="5" fillId="0" borderId="31" xfId="69" applyNumberFormat="1" applyFont="1" applyFill="1" applyBorder="1" applyAlignment="1" applyProtection="1">
      <alignment horizontal="center" vertical="center"/>
      <protection/>
    </xf>
    <xf numFmtId="196" fontId="4" fillId="0" borderId="32" xfId="69" applyNumberFormat="1" applyFont="1" applyFill="1" applyBorder="1" applyAlignment="1" applyProtection="1">
      <alignment horizontal="center" vertical="center"/>
      <protection/>
    </xf>
    <xf numFmtId="196" fontId="4" fillId="0" borderId="31" xfId="69" applyNumberFormat="1" applyFont="1" applyFill="1" applyBorder="1" applyAlignment="1" applyProtection="1">
      <alignment horizontal="center" vertical="center"/>
      <protection/>
    </xf>
    <xf numFmtId="1" fontId="5" fillId="38" borderId="31" xfId="69" applyNumberFormat="1" applyFont="1" applyFill="1" applyBorder="1" applyAlignment="1" applyProtection="1">
      <alignment horizontal="center" vertical="center"/>
      <protection/>
    </xf>
    <xf numFmtId="196" fontId="5" fillId="34" borderId="3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Fill="1" applyBorder="1" applyProtection="1">
      <alignment/>
      <protection/>
    </xf>
    <xf numFmtId="197" fontId="5" fillId="34" borderId="0" xfId="69" applyNumberFormat="1" applyFont="1" applyFill="1" applyBorder="1" applyAlignment="1" applyProtection="1">
      <alignment horizontal="center" vertical="center"/>
      <protection/>
    </xf>
    <xf numFmtId="197" fontId="5" fillId="0" borderId="0" xfId="69" applyNumberFormat="1" applyFont="1" applyFill="1" applyBorder="1" applyAlignment="1" applyProtection="1">
      <alignment horizontal="right" vertical="center"/>
      <protection/>
    </xf>
    <xf numFmtId="10" fontId="5" fillId="0" borderId="0" xfId="69" applyNumberFormat="1" applyFont="1" applyFill="1" applyBorder="1" applyAlignment="1" applyProtection="1">
      <alignment horizontal="left" vertical="center"/>
      <protection/>
    </xf>
    <xf numFmtId="0" fontId="2" fillId="34" borderId="0" xfId="67" applyFont="1" applyFill="1" applyBorder="1" applyAlignment="1" applyProtection="1">
      <alignment vertical="center"/>
      <protection/>
    </xf>
    <xf numFmtId="0" fontId="3" fillId="34" borderId="0" xfId="67" applyFill="1" applyBorder="1" applyAlignment="1" applyProtection="1">
      <alignment vertical="center"/>
      <protection/>
    </xf>
    <xf numFmtId="0" fontId="5" fillId="34" borderId="0" xfId="69" applyFont="1" applyFill="1" applyProtection="1">
      <alignment/>
      <protection/>
    </xf>
    <xf numFmtId="0" fontId="5" fillId="34" borderId="0" xfId="69" applyFont="1" applyFill="1" applyBorder="1" applyProtection="1">
      <alignment/>
      <protection/>
    </xf>
    <xf numFmtId="3" fontId="5" fillId="34" borderId="0" xfId="69" applyNumberFormat="1" applyFont="1" applyFill="1" applyAlignment="1" applyProtection="1">
      <alignment horizontal="right"/>
      <protection/>
    </xf>
    <xf numFmtId="3" fontId="14" fillId="0" borderId="0" xfId="69" applyNumberFormat="1" applyFont="1" applyFill="1" applyBorder="1" applyAlignment="1" applyProtection="1">
      <alignment horizontal="right"/>
      <protection/>
    </xf>
    <xf numFmtId="0" fontId="14" fillId="0" borderId="0" xfId="69" applyFont="1" applyFill="1" applyAlignment="1" applyProtection="1">
      <alignment horizontal="center"/>
      <protection/>
    </xf>
    <xf numFmtId="4" fontId="5" fillId="34" borderId="0" xfId="69" applyNumberFormat="1" applyFont="1" applyFill="1" applyBorder="1" applyAlignment="1" applyProtection="1">
      <alignment horizontal="right" vertical="center"/>
      <protection/>
    </xf>
    <xf numFmtId="3" fontId="5" fillId="34" borderId="0" xfId="69" applyNumberFormat="1" applyFont="1" applyFill="1" applyBorder="1" applyAlignment="1" applyProtection="1">
      <alignment horizontal="right" vertical="center"/>
      <protection/>
    </xf>
    <xf numFmtId="0" fontId="4" fillId="0" borderId="0" xfId="46" applyFont="1" applyFill="1" applyBorder="1" applyAlignment="1" applyProtection="1">
      <alignment horizontal="center" vertical="center"/>
      <protection/>
    </xf>
    <xf numFmtId="0" fontId="2" fillId="34" borderId="0" xfId="66" applyFont="1" applyFill="1" applyBorder="1" applyAlignment="1" applyProtection="1">
      <alignment/>
      <protection/>
    </xf>
    <xf numFmtId="0" fontId="3" fillId="34" borderId="0" xfId="66" applyFont="1" applyFill="1" applyBorder="1" applyAlignment="1" applyProtection="1">
      <alignment vertical="center"/>
      <protection/>
    </xf>
    <xf numFmtId="0" fontId="3" fillId="34" borderId="0" xfId="67" applyFont="1" applyFill="1" applyBorder="1" applyAlignment="1" applyProtection="1">
      <alignment vertical="center"/>
      <protection/>
    </xf>
    <xf numFmtId="174" fontId="2" fillId="34" borderId="0" xfId="67" applyNumberFormat="1" applyFont="1" applyFill="1" applyBorder="1" applyAlignment="1" applyProtection="1">
      <alignment horizontal="right" vertical="center"/>
      <protection/>
    </xf>
    <xf numFmtId="10" fontId="5" fillId="34" borderId="0" xfId="69" applyNumberFormat="1" applyFont="1" applyFill="1" applyBorder="1" applyAlignment="1" applyProtection="1">
      <alignment horizontal="right"/>
      <protection/>
    </xf>
    <xf numFmtId="177" fontId="10" fillId="34" borderId="0" xfId="66" applyNumberFormat="1" applyFont="1" applyFill="1" applyBorder="1" applyAlignment="1" applyProtection="1">
      <alignment vertical="center"/>
      <protection/>
    </xf>
    <xf numFmtId="0" fontId="2" fillId="0" borderId="0" xfId="66" applyFont="1" applyFill="1" applyBorder="1" applyAlignment="1" applyProtection="1">
      <alignment/>
      <protection/>
    </xf>
    <xf numFmtId="10" fontId="118" fillId="0" borderId="0" xfId="67" applyNumberFormat="1" applyFont="1" applyFill="1" applyBorder="1" applyAlignment="1" applyProtection="1">
      <alignment vertical="center"/>
      <protection locked="0"/>
    </xf>
    <xf numFmtId="0" fontId="3" fillId="0" borderId="0" xfId="67" applyBorder="1" applyAlignment="1" applyProtection="1">
      <alignment vertical="center"/>
      <protection/>
    </xf>
    <xf numFmtId="0" fontId="107" fillId="0" borderId="0" xfId="67" applyFont="1" applyBorder="1" applyAlignment="1" applyProtection="1">
      <alignment vertical="center"/>
      <protection/>
    </xf>
    <xf numFmtId="0" fontId="108" fillId="0" borderId="0" xfId="67" applyNumberFormat="1" applyFont="1" applyFill="1" applyBorder="1" applyAlignment="1" applyProtection="1">
      <alignment horizontal="right" vertical="center"/>
      <protection/>
    </xf>
    <xf numFmtId="0" fontId="27" fillId="0" borderId="0" xfId="67" applyFont="1" applyBorder="1" applyAlignment="1" applyProtection="1">
      <alignment vertical="center"/>
      <protection/>
    </xf>
    <xf numFmtId="0" fontId="119" fillId="0" borderId="0" xfId="67" applyFont="1" applyBorder="1" applyAlignment="1" applyProtection="1">
      <alignment vertical="center"/>
      <protection/>
    </xf>
    <xf numFmtId="0" fontId="50" fillId="0" borderId="0" xfId="69" applyFont="1" applyFill="1" applyBorder="1" applyProtection="1">
      <alignment/>
      <protection/>
    </xf>
    <xf numFmtId="10" fontId="3" fillId="0" borderId="0" xfId="67" applyNumberFormat="1" applyFont="1" applyFill="1" applyBorder="1" applyAlignment="1" applyProtection="1">
      <alignment horizontal="right" vertical="center"/>
      <protection locked="0"/>
    </xf>
    <xf numFmtId="0" fontId="21" fillId="0" borderId="0" xfId="69" applyFont="1" applyFill="1" applyBorder="1" applyProtection="1">
      <alignment/>
      <protection/>
    </xf>
    <xf numFmtId="0" fontId="120" fillId="0" borderId="0" xfId="0" applyFont="1" applyFill="1" applyBorder="1" applyAlignment="1">
      <alignment/>
    </xf>
    <xf numFmtId="0" fontId="27" fillId="0" borderId="11" xfId="67" applyFont="1" applyBorder="1" applyAlignment="1" applyProtection="1">
      <alignment vertical="center"/>
      <protection/>
    </xf>
    <xf numFmtId="0" fontId="119" fillId="0" borderId="11" xfId="67" applyFont="1" applyBorder="1" applyAlignment="1" applyProtection="1">
      <alignment vertical="center"/>
      <protection/>
    </xf>
    <xf numFmtId="0" fontId="50" fillId="0" borderId="11" xfId="69" applyFont="1" applyFill="1" applyBorder="1" applyProtection="1">
      <alignment/>
      <protection/>
    </xf>
    <xf numFmtId="10" fontId="118" fillId="0" borderId="33" xfId="67" applyNumberFormat="1" applyFont="1" applyFill="1" applyBorder="1" applyAlignment="1" applyProtection="1">
      <alignment vertical="center"/>
      <protection locked="0"/>
    </xf>
    <xf numFmtId="10" fontId="3" fillId="0" borderId="33" xfId="67" applyNumberFormat="1" applyFont="1" applyFill="1" applyBorder="1" applyAlignment="1" applyProtection="1">
      <alignment vertical="center"/>
      <protection locked="0"/>
    </xf>
    <xf numFmtId="0" fontId="50" fillId="0" borderId="33" xfId="69" applyFont="1" applyFill="1" applyBorder="1" applyProtection="1">
      <alignment/>
      <protection/>
    </xf>
    <xf numFmtId="0" fontId="14" fillId="0" borderId="0" xfId="69" applyFont="1" applyFill="1" applyProtection="1">
      <alignment/>
      <protection/>
    </xf>
    <xf numFmtId="0" fontId="10" fillId="34" borderId="0" xfId="69" applyFont="1" applyFill="1" applyBorder="1" applyProtection="1">
      <alignment/>
      <protection/>
    </xf>
    <xf numFmtId="0" fontId="6" fillId="34" borderId="0" xfId="69" applyFont="1" applyFill="1" applyAlignment="1" applyProtection="1">
      <alignment horizontal="left"/>
      <protection/>
    </xf>
    <xf numFmtId="10" fontId="5" fillId="34" borderId="0" xfId="69" applyNumberFormat="1" applyFont="1" applyFill="1" applyProtection="1">
      <alignment/>
      <protection/>
    </xf>
    <xf numFmtId="0" fontId="0" fillId="34" borderId="0" xfId="0" applyFill="1" applyAlignment="1" applyProtection="1">
      <alignment/>
      <protection/>
    </xf>
    <xf numFmtId="199" fontId="3" fillId="0" borderId="0" xfId="67" applyNumberFormat="1" applyFont="1" applyFill="1" applyAlignment="1" applyProtection="1">
      <alignment horizontal="right" vertical="center"/>
      <protection locked="0"/>
    </xf>
    <xf numFmtId="0" fontId="13" fillId="0" borderId="0" xfId="69" applyFont="1" applyFill="1" applyBorder="1" applyAlignment="1" applyProtection="1">
      <alignment horizontal="right" vertical="center"/>
      <protection/>
    </xf>
    <xf numFmtId="177" fontId="19" fillId="34" borderId="0" xfId="66" applyNumberFormat="1" applyFont="1" applyFill="1" applyAlignment="1" applyProtection="1">
      <alignment horizontal="right"/>
      <protection/>
    </xf>
    <xf numFmtId="0" fontId="8" fillId="0" borderId="0" xfId="66" applyFont="1" applyProtection="1">
      <alignment/>
      <protection/>
    </xf>
    <xf numFmtId="177" fontId="7" fillId="0" borderId="0" xfId="66" applyNumberFormat="1" applyFont="1" applyFill="1" applyAlignment="1" applyProtection="1">
      <alignment horizontal="right"/>
      <protection/>
    </xf>
    <xf numFmtId="10" fontId="3" fillId="0" borderId="13" xfId="66" applyNumberFormat="1" applyFont="1" applyBorder="1" applyAlignment="1" applyProtection="1">
      <alignment horizontal="right"/>
      <protection/>
    </xf>
    <xf numFmtId="10" fontId="3" fillId="0" borderId="0" xfId="66" applyNumberFormat="1" applyFont="1" applyAlignment="1" applyProtection="1">
      <alignment horizontal="right"/>
      <protection/>
    </xf>
    <xf numFmtId="176" fontId="7" fillId="34" borderId="0" xfId="66" applyNumberFormat="1" applyFont="1" applyFill="1" applyBorder="1" applyProtection="1">
      <alignment/>
      <protection/>
    </xf>
    <xf numFmtId="10" fontId="3" fillId="34" borderId="0" xfId="66" applyNumberFormat="1" applyFont="1" applyFill="1" applyBorder="1" applyAlignment="1" applyProtection="1">
      <alignment horizontal="right"/>
      <protection/>
    </xf>
    <xf numFmtId="9" fontId="3" fillId="34" borderId="0" xfId="66" applyNumberFormat="1" applyFont="1" applyFill="1" applyBorder="1" applyAlignment="1" applyProtection="1">
      <alignment horizontal="center"/>
      <protection/>
    </xf>
    <xf numFmtId="0" fontId="8" fillId="0" borderId="0" xfId="66" applyFont="1" applyFill="1" applyProtection="1">
      <alignment/>
      <protection/>
    </xf>
    <xf numFmtId="9" fontId="3" fillId="0" borderId="0" xfId="66" applyNumberFormat="1" applyFont="1" applyAlignment="1" applyProtection="1">
      <alignment horizontal="right"/>
      <protection/>
    </xf>
    <xf numFmtId="0" fontId="3" fillId="0" borderId="0" xfId="66" applyFont="1" applyFill="1" applyAlignment="1" applyProtection="1">
      <alignment horizontal="right"/>
      <protection/>
    </xf>
    <xf numFmtId="0" fontId="3" fillId="36" borderId="0" xfId="66" applyFont="1" applyFill="1" applyBorder="1" applyProtection="1">
      <alignment/>
      <protection/>
    </xf>
    <xf numFmtId="0" fontId="8" fillId="0" borderId="0" xfId="66" applyFont="1" applyBorder="1" applyProtection="1">
      <alignment/>
      <protection/>
    </xf>
    <xf numFmtId="0" fontId="121" fillId="0" borderId="0" xfId="66" applyFont="1" applyFill="1" applyBorder="1" applyAlignment="1" applyProtection="1">
      <alignment vertical="center"/>
      <protection/>
    </xf>
    <xf numFmtId="0" fontId="10" fillId="0" borderId="15" xfId="69" applyFont="1" applyFill="1" applyBorder="1" applyAlignment="1" applyProtection="1">
      <alignment vertical="center"/>
      <protection/>
    </xf>
    <xf numFmtId="3" fontId="5" fillId="0" borderId="18" xfId="69" applyNumberFormat="1" applyFont="1" applyFill="1" applyBorder="1" applyProtection="1">
      <alignment/>
      <protection/>
    </xf>
    <xf numFmtId="170" fontId="9" fillId="0" borderId="18" xfId="69" applyNumberFormat="1" applyFont="1" applyBorder="1" applyAlignment="1" applyProtection="1">
      <alignment horizontal="right"/>
      <protection/>
    </xf>
    <xf numFmtId="170" fontId="9" fillId="0" borderId="18" xfId="69" applyNumberFormat="1" applyFont="1" applyBorder="1" applyAlignment="1" applyProtection="1">
      <alignment/>
      <protection/>
    </xf>
    <xf numFmtId="170" fontId="9" fillId="0" borderId="18" xfId="69" applyNumberFormat="1" applyFont="1" applyFill="1" applyBorder="1" applyAlignment="1" applyProtection="1">
      <alignment/>
      <protection/>
    </xf>
    <xf numFmtId="0" fontId="5" fillId="0" borderId="34" xfId="69" applyFont="1" applyFill="1" applyBorder="1" applyProtection="1">
      <alignment/>
      <protection/>
    </xf>
    <xf numFmtId="184" fontId="5" fillId="0" borderId="34" xfId="69" applyNumberFormat="1" applyFont="1" applyFill="1" applyBorder="1" applyAlignment="1" applyProtection="1">
      <alignment horizontal="right"/>
      <protection/>
    </xf>
    <xf numFmtId="0" fontId="5" fillId="0" borderId="17" xfId="69" applyFont="1" applyFill="1" applyBorder="1" applyProtection="1">
      <alignment/>
      <protection/>
    </xf>
    <xf numFmtId="0" fontId="37" fillId="0" borderId="0" xfId="69" applyFont="1" applyBorder="1" applyAlignment="1" applyProtection="1">
      <alignment horizontal="left"/>
      <protection/>
    </xf>
    <xf numFmtId="0" fontId="109" fillId="36" borderId="0" xfId="69" applyFont="1" applyFill="1" applyAlignment="1" applyProtection="1">
      <alignment horizontal="left"/>
      <protection/>
    </xf>
    <xf numFmtId="177" fontId="8" fillId="0" borderId="0" xfId="67" applyNumberFormat="1" applyFont="1" applyBorder="1" applyAlignment="1" applyProtection="1">
      <alignment horizontal="center" vertical="center"/>
      <protection/>
    </xf>
    <xf numFmtId="177" fontId="3" fillId="0" borderId="0" xfId="67" applyNumberFormat="1" applyFont="1" applyBorder="1" applyAlignment="1" applyProtection="1">
      <alignment vertical="center"/>
      <protection/>
    </xf>
    <xf numFmtId="170" fontId="2" fillId="34" borderId="13" xfId="67" applyNumberFormat="1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10" fontId="5" fillId="0" borderId="0" xfId="69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4" fillId="0" borderId="0" xfId="69" applyFont="1" applyFill="1" applyAlignment="1" applyProtection="1">
      <alignment vertical="center"/>
      <protection/>
    </xf>
    <xf numFmtId="10" fontId="5" fillId="0" borderId="0" xfId="69" applyNumberFormat="1" applyFont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3" fontId="5" fillId="0" borderId="0" xfId="6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0" fontId="104" fillId="0" borderId="0" xfId="69" applyNumberFormat="1" applyFont="1" applyFill="1" applyAlignment="1" applyProtection="1">
      <alignment vertical="center"/>
      <protection/>
    </xf>
    <xf numFmtId="9" fontId="5" fillId="35" borderId="0" xfId="58" applyFont="1" applyFill="1" applyBorder="1" applyAlignment="1" applyProtection="1">
      <alignment horizontal="right" vertical="center"/>
      <protection locked="0"/>
    </xf>
    <xf numFmtId="170" fontId="9" fillId="34" borderId="0" xfId="66" applyNumberFormat="1" applyFont="1" applyFill="1" applyBorder="1" applyAlignment="1" applyProtection="1">
      <alignment vertical="center"/>
      <protection/>
    </xf>
    <xf numFmtId="170" fontId="10" fillId="34" borderId="0" xfId="66" applyNumberFormat="1" applyFont="1" applyFill="1" applyBorder="1" applyAlignment="1" applyProtection="1">
      <alignment vertical="center"/>
      <protection/>
    </xf>
    <xf numFmtId="200" fontId="29" fillId="0" borderId="0" xfId="58" applyNumberFormat="1" applyFont="1" applyAlignment="1" applyProtection="1">
      <alignment/>
      <protection/>
    </xf>
    <xf numFmtId="0" fontId="122" fillId="0" borderId="0" xfId="0" applyFont="1" applyAlignment="1">
      <alignment horizontal="justify" vertical="center"/>
    </xf>
    <xf numFmtId="9" fontId="3" fillId="35" borderId="19" xfId="67" applyNumberFormat="1" applyFont="1" applyFill="1" applyBorder="1" applyAlignment="1" applyProtection="1">
      <alignment horizontal="right" vertical="center"/>
      <protection locked="0"/>
    </xf>
    <xf numFmtId="170" fontId="9" fillId="34" borderId="11" xfId="66" applyNumberFormat="1" applyFont="1" applyFill="1" applyBorder="1" applyAlignment="1" applyProtection="1">
      <alignment vertical="center"/>
      <protection/>
    </xf>
    <xf numFmtId="170" fontId="9" fillId="34" borderId="35" xfId="66" applyNumberFormat="1" applyFont="1" applyFill="1" applyBorder="1" applyAlignment="1" applyProtection="1">
      <alignment vertical="center"/>
      <protection/>
    </xf>
    <xf numFmtId="9" fontId="3" fillId="35" borderId="18" xfId="67" applyNumberFormat="1" applyFont="1" applyFill="1" applyBorder="1" applyAlignment="1" applyProtection="1">
      <alignment horizontal="right" vertical="center"/>
      <protection locked="0"/>
    </xf>
    <xf numFmtId="170" fontId="3" fillId="34" borderId="11" xfId="66" applyNumberFormat="1" applyFont="1" applyFill="1" applyBorder="1" applyAlignment="1" applyProtection="1">
      <alignment vertical="center"/>
      <protection/>
    </xf>
    <xf numFmtId="177" fontId="3" fillId="0" borderId="36" xfId="67" applyNumberFormat="1" applyFont="1" applyFill="1" applyBorder="1" applyAlignment="1" applyProtection="1">
      <alignment vertical="center"/>
      <protection/>
    </xf>
    <xf numFmtId="10" fontId="115" fillId="0" borderId="0" xfId="69" applyNumberFormat="1" applyFont="1" applyFill="1" applyAlignment="1" applyProtection="1">
      <alignment wrapText="1"/>
      <protection locked="0"/>
    </xf>
    <xf numFmtId="177" fontId="51" fillId="0" borderId="0" xfId="67" applyNumberFormat="1" applyFont="1" applyFill="1" applyBorder="1" applyAlignment="1" applyProtection="1">
      <alignment vertical="center"/>
      <protection/>
    </xf>
    <xf numFmtId="200" fontId="116" fillId="0" borderId="0" xfId="58" applyNumberFormat="1" applyFont="1" applyFill="1" applyAlignment="1" applyProtection="1">
      <alignment horizontal="right" vertical="center"/>
      <protection/>
    </xf>
    <xf numFmtId="10" fontId="115" fillId="0" borderId="0" xfId="58" applyNumberFormat="1" applyFont="1" applyFill="1" applyAlignment="1" applyProtection="1">
      <alignment horizontal="right" vertical="center"/>
      <protection/>
    </xf>
    <xf numFmtId="3" fontId="5" fillId="35" borderId="18" xfId="69" applyNumberFormat="1" applyFont="1" applyFill="1" applyBorder="1" applyProtection="1">
      <alignment/>
      <protection locked="0"/>
    </xf>
    <xf numFmtId="1" fontId="10" fillId="34" borderId="18" xfId="69" applyNumberFormat="1" applyFont="1" applyFill="1" applyBorder="1" applyAlignment="1" applyProtection="1">
      <alignment horizontal="left" vertical="center"/>
      <protection/>
    </xf>
    <xf numFmtId="172" fontId="10" fillId="34" borderId="18" xfId="69" applyNumberFormat="1" applyFont="1" applyFill="1" applyBorder="1" applyAlignment="1" applyProtection="1">
      <alignment horizontal="left" vertical="center"/>
      <protection/>
    </xf>
    <xf numFmtId="0" fontId="10" fillId="34" borderId="18" xfId="69" applyFont="1" applyFill="1" applyBorder="1" applyAlignment="1" applyProtection="1">
      <alignment vertical="center"/>
      <protection/>
    </xf>
    <xf numFmtId="0" fontId="9" fillId="34" borderId="18" xfId="69" applyFont="1" applyFill="1" applyBorder="1" applyAlignment="1" applyProtection="1">
      <alignment vertical="center"/>
      <protection/>
    </xf>
    <xf numFmtId="170" fontId="9" fillId="0" borderId="18" xfId="69" applyNumberFormat="1" applyFont="1" applyFill="1" applyBorder="1" applyAlignment="1" applyProtection="1">
      <alignment vertical="center"/>
      <protection/>
    </xf>
    <xf numFmtId="1" fontId="5" fillId="0" borderId="34" xfId="69" applyNumberFormat="1" applyFont="1" applyFill="1" applyBorder="1" applyAlignment="1" applyProtection="1">
      <alignment horizontal="left"/>
      <protection/>
    </xf>
    <xf numFmtId="172" fontId="5" fillId="0" borderId="34" xfId="69" applyNumberFormat="1" applyFont="1" applyFill="1" applyBorder="1" applyAlignment="1" applyProtection="1">
      <alignment horizontal="left"/>
      <protection/>
    </xf>
    <xf numFmtId="0" fontId="5" fillId="0" borderId="34" xfId="69" applyFont="1" applyFill="1" applyBorder="1" applyAlignment="1" applyProtection="1">
      <alignment/>
      <protection/>
    </xf>
    <xf numFmtId="0" fontId="5" fillId="0" borderId="15" xfId="69" applyFont="1" applyFill="1" applyBorder="1" applyProtection="1">
      <alignment/>
      <protection/>
    </xf>
    <xf numFmtId="176" fontId="115" fillId="0" borderId="0" xfId="66" applyNumberFormat="1" applyFont="1" applyFill="1" applyBorder="1" applyAlignment="1" applyProtection="1">
      <alignment horizontal="right"/>
      <protection/>
    </xf>
    <xf numFmtId="174" fontId="27" fillId="0" borderId="0" xfId="66" applyNumberFormat="1" applyFont="1" applyAlignment="1" applyProtection="1">
      <alignment horizontal="left"/>
      <protection/>
    </xf>
    <xf numFmtId="184" fontId="27" fillId="0" borderId="0" xfId="66" applyNumberFormat="1" applyFont="1" applyFill="1" applyAlignment="1" applyProtection="1">
      <alignment horizontal="right"/>
      <protection/>
    </xf>
    <xf numFmtId="170" fontId="2" fillId="34" borderId="13" xfId="67" applyNumberFormat="1" applyFont="1" applyFill="1" applyBorder="1" applyAlignment="1" applyProtection="1">
      <alignment horizontal="right" vertical="center"/>
      <protection/>
    </xf>
    <xf numFmtId="170" fontId="9" fillId="34" borderId="11" xfId="66" applyNumberFormat="1" applyFont="1" applyFill="1" applyBorder="1" applyAlignment="1" applyProtection="1">
      <alignment horizontal="right" vertical="center"/>
      <protection/>
    </xf>
    <xf numFmtId="10" fontId="5" fillId="0" borderId="0" xfId="58" applyNumberFormat="1" applyFont="1" applyFill="1" applyBorder="1" applyAlignment="1" applyProtection="1">
      <alignment vertical="center"/>
      <protection/>
    </xf>
    <xf numFmtId="0" fontId="123" fillId="0" borderId="0" xfId="0" applyFont="1" applyBorder="1" applyAlignment="1" applyProtection="1">
      <alignment vertical="top" wrapText="1"/>
      <protection/>
    </xf>
    <xf numFmtId="0" fontId="118" fillId="0" borderId="0" xfId="67" applyFont="1" applyFill="1" applyBorder="1" applyAlignment="1" applyProtection="1">
      <alignment vertical="center"/>
      <protection/>
    </xf>
    <xf numFmtId="10" fontId="118" fillId="0" borderId="0" xfId="67" applyNumberFormat="1" applyFont="1" applyFill="1" applyAlignment="1" applyProtection="1">
      <alignment horizontal="right" vertical="center"/>
      <protection/>
    </xf>
    <xf numFmtId="10" fontId="118" fillId="0" borderId="11" xfId="67" applyNumberFormat="1" applyFont="1" applyFill="1" applyBorder="1" applyAlignment="1" applyProtection="1">
      <alignment horizontal="right" vertical="center"/>
      <protection/>
    </xf>
    <xf numFmtId="1" fontId="124" fillId="0" borderId="0" xfId="46" applyNumberFormat="1" applyFont="1" applyAlignment="1">
      <alignment horizontal="center" vertical="center"/>
    </xf>
    <xf numFmtId="0" fontId="3" fillId="0" borderId="0" xfId="67" applyAlignment="1">
      <alignment vertical="center"/>
      <protection/>
    </xf>
    <xf numFmtId="10" fontId="118" fillId="0" borderId="0" xfId="67" applyNumberFormat="1" applyFont="1" applyAlignment="1">
      <alignment horizontal="right" vertical="center"/>
      <protection/>
    </xf>
    <xf numFmtId="0" fontId="108" fillId="0" borderId="0" xfId="67" applyFont="1" applyAlignment="1">
      <alignment horizontal="right" vertical="center"/>
      <protection/>
    </xf>
    <xf numFmtId="10" fontId="118" fillId="0" borderId="11" xfId="67" applyNumberFormat="1" applyFont="1" applyBorder="1" applyAlignment="1">
      <alignment horizontal="right" vertical="center"/>
      <protection/>
    </xf>
    <xf numFmtId="0" fontId="108" fillId="0" borderId="11" xfId="67" applyFont="1" applyBorder="1" applyAlignment="1">
      <alignment horizontal="right" vertical="center"/>
      <protection/>
    </xf>
    <xf numFmtId="1" fontId="4" fillId="0" borderId="0" xfId="46" applyNumberFormat="1" applyFont="1" applyAlignment="1">
      <alignment horizontal="center" vertical="center"/>
    </xf>
    <xf numFmtId="0" fontId="118" fillId="0" borderId="0" xfId="67" applyFont="1" applyAlignment="1">
      <alignment vertical="center"/>
      <protection/>
    </xf>
    <xf numFmtId="0" fontId="118" fillId="0" borderId="0" xfId="67" applyFont="1" applyAlignment="1">
      <alignment horizontal="center" vertical="center"/>
      <protection/>
    </xf>
    <xf numFmtId="188" fontId="9" fillId="35" borderId="37" xfId="69" applyNumberFormat="1" applyFont="1" applyFill="1" applyBorder="1" applyAlignment="1" applyProtection="1">
      <alignment horizontal="right"/>
      <protection locked="0"/>
    </xf>
    <xf numFmtId="202" fontId="9" fillId="35" borderId="15" xfId="69" applyNumberFormat="1" applyFont="1" applyFill="1" applyBorder="1" applyAlignment="1" applyProtection="1">
      <alignment horizontal="right"/>
      <protection locked="0"/>
    </xf>
    <xf numFmtId="170" fontId="9" fillId="34" borderId="0" xfId="69" applyNumberFormat="1" applyFont="1" applyFill="1" applyBorder="1" applyAlignment="1" applyProtection="1">
      <alignment horizontal="right" vertical="center"/>
      <protection/>
    </xf>
    <xf numFmtId="200" fontId="27" fillId="0" borderId="0" xfId="66" applyNumberFormat="1" applyFont="1" applyFill="1" applyAlignment="1" applyProtection="1">
      <alignment horizontal="right"/>
      <protection/>
    </xf>
    <xf numFmtId="1" fontId="10" fillId="34" borderId="0" xfId="69" applyNumberFormat="1" applyFont="1" applyFill="1" applyBorder="1" applyAlignment="1" applyProtection="1">
      <alignment horizontal="left" vertical="center"/>
      <protection/>
    </xf>
    <xf numFmtId="0" fontId="5" fillId="0" borderId="30" xfId="69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vertical="top" wrapText="1"/>
      <protection/>
    </xf>
    <xf numFmtId="1" fontId="5" fillId="0" borderId="30" xfId="69" applyNumberFormat="1" applyFont="1" applyFill="1" applyBorder="1" applyAlignment="1" applyProtection="1">
      <alignment horizontal="left"/>
      <protection/>
    </xf>
    <xf numFmtId="1" fontId="5" fillId="0" borderId="15" xfId="69" applyNumberFormat="1" applyFont="1" applyFill="1" applyBorder="1" applyAlignment="1" applyProtection="1">
      <alignment horizontal="left"/>
      <protection/>
    </xf>
    <xf numFmtId="10" fontId="16" fillId="0" borderId="0" xfId="69" applyNumberFormat="1" applyFont="1" applyBorder="1" applyAlignment="1" applyProtection="1">
      <alignment horizontal="left" wrapText="1"/>
      <protection/>
    </xf>
    <xf numFmtId="170" fontId="36" fillId="0" borderId="0" xfId="69" applyNumberFormat="1" applyFont="1" applyFill="1" applyBorder="1" applyAlignment="1" applyProtection="1">
      <alignment horizontal="center" vertical="center"/>
      <protection/>
    </xf>
    <xf numFmtId="10" fontId="108" fillId="0" borderId="0" xfId="58" applyNumberFormat="1" applyFont="1" applyAlignment="1">
      <alignment horizontal="right" vertical="center"/>
    </xf>
    <xf numFmtId="10" fontId="108" fillId="0" borderId="11" xfId="58" applyNumberFormat="1" applyFont="1" applyBorder="1" applyAlignment="1">
      <alignment horizontal="right" vertical="center"/>
    </xf>
    <xf numFmtId="1" fontId="124" fillId="0" borderId="0" xfId="46" applyNumberFormat="1" applyFont="1" applyAlignment="1">
      <alignment horizontal="center" vertical="center"/>
    </xf>
    <xf numFmtId="0" fontId="27" fillId="0" borderId="0" xfId="66" applyFont="1" applyFill="1" applyAlignment="1" applyProtection="1">
      <alignment horizontal="left" vertical="center"/>
      <protection locked="0"/>
    </xf>
    <xf numFmtId="3" fontId="6" fillId="0" borderId="0" xfId="69" applyNumberFormat="1" applyFont="1" applyFill="1" applyBorder="1" applyAlignment="1" applyProtection="1">
      <alignment vertical="top" wrapText="1"/>
      <protection/>
    </xf>
    <xf numFmtId="0" fontId="3" fillId="0" borderId="11" xfId="66" applyFont="1" applyBorder="1" applyAlignment="1" applyProtection="1">
      <alignment horizontal="left" wrapText="1"/>
      <protection/>
    </xf>
    <xf numFmtId="10" fontId="115" fillId="0" borderId="0" xfId="69" applyNumberFormat="1" applyFont="1" applyFill="1" applyAlignment="1" applyProtection="1">
      <alignment horizontal="center" wrapText="1"/>
      <protection locked="0"/>
    </xf>
    <xf numFmtId="10" fontId="37" fillId="0" borderId="0" xfId="69" applyNumberFormat="1" applyFont="1" applyBorder="1" applyAlignment="1" applyProtection="1">
      <alignment horizontal="right" wrapText="1"/>
      <protection/>
    </xf>
    <xf numFmtId="10" fontId="38" fillId="0" borderId="0" xfId="69" applyNumberFormat="1" applyFont="1" applyBorder="1" applyAlignment="1" applyProtection="1">
      <alignment horizontal="right" wrapText="1"/>
      <protection/>
    </xf>
    <xf numFmtId="1" fontId="10" fillId="0" borderId="0" xfId="69" applyNumberFormat="1" applyFont="1" applyFill="1" applyBorder="1" applyAlignment="1" applyProtection="1">
      <alignment horizontal="left" vertical="center"/>
      <protection/>
    </xf>
    <xf numFmtId="3" fontId="5" fillId="0" borderId="21" xfId="69" applyNumberFormat="1" applyFont="1" applyFill="1" applyBorder="1" applyAlignment="1" applyProtection="1">
      <alignment horizontal="center" vertical="center"/>
      <protection/>
    </xf>
    <xf numFmtId="0" fontId="5" fillId="0" borderId="0" xfId="69" applyFont="1" applyFill="1" applyBorder="1" applyAlignment="1" applyProtection="1">
      <alignment horizontal="center" vertical="center"/>
      <protection/>
    </xf>
    <xf numFmtId="1" fontId="5" fillId="38" borderId="21" xfId="69" applyNumberFormat="1" applyFont="1" applyFill="1" applyBorder="1" applyAlignment="1" applyProtection="1">
      <alignment horizontal="center" vertical="center"/>
      <protection/>
    </xf>
    <xf numFmtId="1" fontId="5" fillId="38" borderId="31" xfId="69" applyNumberFormat="1" applyFont="1" applyFill="1" applyBorder="1" applyAlignment="1" applyProtection="1">
      <alignment horizontal="center" vertical="center"/>
      <protection/>
    </xf>
    <xf numFmtId="196" fontId="4" fillId="38" borderId="32" xfId="69" applyNumberFormat="1" applyFont="1" applyFill="1" applyBorder="1" applyAlignment="1" applyProtection="1">
      <alignment horizontal="center" vertical="center"/>
      <protection/>
    </xf>
    <xf numFmtId="201" fontId="5" fillId="38" borderId="22" xfId="69" applyNumberFormat="1" applyFont="1" applyFill="1" applyBorder="1" applyAlignment="1" applyProtection="1">
      <alignment horizontal="center" vertical="center"/>
      <protection/>
    </xf>
    <xf numFmtId="201" fontId="5" fillId="38" borderId="38" xfId="69" applyNumberFormat="1" applyFont="1" applyFill="1" applyBorder="1" applyAlignment="1" applyProtection="1">
      <alignment horizontal="center" vertical="center"/>
      <protection/>
    </xf>
    <xf numFmtId="201" fontId="4" fillId="38" borderId="39" xfId="69" applyNumberFormat="1" applyFont="1" applyFill="1" applyBorder="1" applyAlignment="1" applyProtection="1">
      <alignment horizontal="right" vertical="center"/>
      <protection/>
    </xf>
    <xf numFmtId="201" fontId="4" fillId="38" borderId="38" xfId="69" applyNumberFormat="1" applyFont="1" applyFill="1" applyBorder="1" applyAlignment="1" applyProtection="1">
      <alignment horizontal="right" vertical="center"/>
      <protection/>
    </xf>
    <xf numFmtId="1" fontId="5" fillId="38" borderId="11" xfId="69" applyNumberFormat="1" applyFont="1" applyFill="1" applyBorder="1" applyAlignment="1" applyProtection="1">
      <alignment horizontal="center" vertical="center"/>
      <protection/>
    </xf>
    <xf numFmtId="1" fontId="5" fillId="34" borderId="22" xfId="69" applyNumberFormat="1" applyFont="1" applyFill="1" applyBorder="1" applyAlignment="1" applyProtection="1">
      <alignment horizontal="center" vertical="center"/>
      <protection/>
    </xf>
    <xf numFmtId="1" fontId="5" fillId="34" borderId="38" xfId="69" applyNumberFormat="1" applyFont="1" applyFill="1" applyBorder="1" applyAlignment="1" applyProtection="1">
      <alignment horizontal="center" vertical="center"/>
      <protection/>
    </xf>
    <xf numFmtId="196" fontId="4" fillId="34" borderId="40" xfId="69" applyNumberFormat="1" applyFont="1" applyFill="1" applyBorder="1" applyAlignment="1" applyProtection="1">
      <alignment horizontal="center" vertical="center"/>
      <protection/>
    </xf>
    <xf numFmtId="1" fontId="5" fillId="34" borderId="39" xfId="69" applyNumberFormat="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center"/>
      <protection locked="0"/>
    </xf>
    <xf numFmtId="3" fontId="5" fillId="34" borderId="0" xfId="46" applyNumberFormat="1" applyFont="1" applyFill="1" applyBorder="1" applyAlignment="1" applyProtection="1">
      <alignment horizontal="right" vertical="center"/>
      <protection/>
    </xf>
    <xf numFmtId="170" fontId="5" fillId="34" borderId="0" xfId="46" applyNumberFormat="1" applyFont="1" applyFill="1" applyBorder="1" applyAlignment="1" applyProtection="1">
      <alignment horizontal="center" vertical="center"/>
      <protection/>
    </xf>
    <xf numFmtId="10" fontId="3" fillId="38" borderId="0" xfId="67" applyNumberFormat="1" applyFont="1" applyFill="1" applyBorder="1" applyAlignment="1" applyProtection="1">
      <alignment horizontal="right" vertical="center"/>
      <protection locked="0"/>
    </xf>
    <xf numFmtId="170" fontId="3" fillId="0" borderId="0" xfId="66" applyNumberFormat="1" applyFont="1" applyBorder="1" applyAlignment="1" applyProtection="1">
      <alignment horizontal="center"/>
      <protection/>
    </xf>
    <xf numFmtId="10" fontId="3" fillId="38" borderId="33" xfId="67" applyNumberFormat="1" applyFont="1" applyFill="1" applyBorder="1" applyAlignment="1" applyProtection="1">
      <alignment horizontal="right" vertical="center"/>
      <protection locked="0"/>
    </xf>
    <xf numFmtId="170" fontId="3" fillId="0" borderId="33" xfId="66" applyNumberFormat="1" applyFont="1" applyBorder="1" applyAlignment="1" applyProtection="1">
      <alignment horizontal="center"/>
      <protection/>
    </xf>
    <xf numFmtId="10" fontId="118" fillId="0" borderId="41" xfId="67" applyNumberFormat="1" applyFont="1" applyFill="1" applyBorder="1" applyAlignment="1" applyProtection="1">
      <alignment horizontal="right" vertical="center"/>
      <protection locked="0"/>
    </xf>
    <xf numFmtId="10" fontId="3" fillId="0" borderId="0" xfId="67" applyNumberFormat="1" applyFont="1" applyFill="1" applyBorder="1" applyAlignment="1" applyProtection="1">
      <alignment horizontal="right" vertical="center"/>
      <protection locked="0"/>
    </xf>
    <xf numFmtId="170" fontId="2" fillId="0" borderId="0" xfId="66" applyNumberFormat="1" applyFont="1" applyFill="1" applyAlignment="1" applyProtection="1">
      <alignment horizontal="center"/>
      <protection/>
    </xf>
    <xf numFmtId="198" fontId="9" fillId="38" borderId="27" xfId="69" applyNumberFormat="1" applyFont="1" applyFill="1" applyBorder="1" applyAlignment="1" applyProtection="1">
      <alignment horizontal="right"/>
      <protection locked="0"/>
    </xf>
    <xf numFmtId="199" fontId="3" fillId="38" borderId="0" xfId="67" applyNumberFormat="1" applyFont="1" applyFill="1" applyAlignment="1" applyProtection="1">
      <alignment horizontal="right" vertical="center"/>
      <protection locked="0"/>
    </xf>
    <xf numFmtId="170" fontId="2" fillId="34" borderId="0" xfId="66" applyNumberFormat="1" applyFont="1" applyFill="1" applyAlignment="1" applyProtection="1">
      <alignment horizontal="center"/>
      <protection/>
    </xf>
    <xf numFmtId="10" fontId="3" fillId="38" borderId="0" xfId="66" applyNumberFormat="1" applyFont="1" applyFill="1" applyAlignment="1" applyProtection="1">
      <alignment horizontal="right"/>
      <protection locked="0"/>
    </xf>
    <xf numFmtId="10" fontId="3" fillId="0" borderId="0" xfId="66" applyNumberFormat="1" applyFont="1" applyFill="1" applyAlignment="1" applyProtection="1">
      <alignment horizontal="right"/>
      <protection/>
    </xf>
    <xf numFmtId="170" fontId="2" fillId="36" borderId="0" xfId="66" applyNumberFormat="1" applyFont="1" applyFill="1" applyAlignment="1" applyProtection="1">
      <alignment horizont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Dezimal 2 2" xfId="44"/>
    <cellStyle name="Dezimal 2 2 2" xfId="45"/>
    <cellStyle name="Dezimal_T00003 2" xfId="46"/>
    <cellStyle name="Eingabe" xfId="47"/>
    <cellStyle name="Ergebnis" xfId="48"/>
    <cellStyle name="Erklärender Text" xfId="49"/>
    <cellStyle name="Euro" xfId="50"/>
    <cellStyle name="graue hinterlegung" xfId="51"/>
    <cellStyle name="Gut" xfId="52"/>
    <cellStyle name="Comma" xfId="53"/>
    <cellStyle name="Komma 2" xfId="54"/>
    <cellStyle name="Hyperlink" xfId="55"/>
    <cellStyle name="Neutral" xfId="56"/>
    <cellStyle name="Notiz" xfId="57"/>
    <cellStyle name="Percent" xfId="58"/>
    <cellStyle name="Prozent 2" xfId="59"/>
    <cellStyle name="Prozent 3" xfId="60"/>
    <cellStyle name="Schlecht" xfId="61"/>
    <cellStyle name="Standard 2" xfId="62"/>
    <cellStyle name="Standard 2 2" xfId="63"/>
    <cellStyle name="Standard 3" xfId="64"/>
    <cellStyle name="Standard 3 2" xfId="65"/>
    <cellStyle name="Standard 3 3" xfId="66"/>
    <cellStyle name="Standard 4" xfId="67"/>
    <cellStyle name="Standard 5" xfId="68"/>
    <cellStyle name="Standard_K.Schätzung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dxfs count="1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40</xdr:row>
      <xdr:rowOff>57150</xdr:rowOff>
    </xdr:from>
    <xdr:to>
      <xdr:col>9</xdr:col>
      <xdr:colOff>438150</xdr:colOff>
      <xdr:row>58</xdr:row>
      <xdr:rowOff>76200</xdr:rowOff>
    </xdr:to>
    <xdr:grpSp>
      <xdr:nvGrpSpPr>
        <xdr:cNvPr id="1" name="Gruppieren 24"/>
        <xdr:cNvGrpSpPr>
          <a:grpSpLocks/>
        </xdr:cNvGrpSpPr>
      </xdr:nvGrpSpPr>
      <xdr:grpSpPr>
        <a:xfrm>
          <a:off x="4886325" y="5657850"/>
          <a:ext cx="164782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10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11"/>
          <xdr:cNvSpPr>
            <a:spLocks/>
          </xdr:cNvSpPr>
        </xdr:nvSpPr>
        <xdr:spPr>
          <a:xfrm flipH="1">
            <a:off x="5850795" y="5502200"/>
            <a:ext cx="6750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18"/>
          <xdr:cNvSpPr>
            <a:spLocks/>
          </xdr:cNvSpPr>
        </xdr:nvSpPr>
        <xdr:spPr>
          <a:xfrm>
            <a:off x="5850795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22"/>
          <xdr:cNvSpPr>
            <a:spLocks/>
          </xdr:cNvSpPr>
        </xdr:nvSpPr>
        <xdr:spPr>
          <a:xfrm flipH="1">
            <a:off x="4881355" y="8151743"/>
            <a:ext cx="9694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590550</xdr:colOff>
      <xdr:row>55</xdr:row>
      <xdr:rowOff>66675</xdr:rowOff>
    </xdr:to>
    <xdr:grpSp>
      <xdr:nvGrpSpPr>
        <xdr:cNvPr id="1" name="Gruppieren 3"/>
        <xdr:cNvGrpSpPr>
          <a:grpSpLocks/>
        </xdr:cNvGrpSpPr>
      </xdr:nvGrpSpPr>
      <xdr:grpSpPr>
        <a:xfrm>
          <a:off x="4867275" y="5162550"/>
          <a:ext cx="181927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4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5"/>
          <xdr:cNvSpPr>
            <a:spLocks/>
          </xdr:cNvSpPr>
        </xdr:nvSpPr>
        <xdr:spPr>
          <a:xfrm flipH="1">
            <a:off x="5854084" y="5502200"/>
            <a:ext cx="6717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6"/>
          <xdr:cNvSpPr>
            <a:spLocks/>
          </xdr:cNvSpPr>
        </xdr:nvSpPr>
        <xdr:spPr>
          <a:xfrm>
            <a:off x="5854084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27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590550</xdr:colOff>
      <xdr:row>55</xdr:row>
      <xdr:rowOff>66675</xdr:rowOff>
    </xdr:to>
    <xdr:grpSp>
      <xdr:nvGrpSpPr>
        <xdr:cNvPr id="1" name="Gruppieren 3"/>
        <xdr:cNvGrpSpPr>
          <a:grpSpLocks/>
        </xdr:cNvGrpSpPr>
      </xdr:nvGrpSpPr>
      <xdr:grpSpPr>
        <a:xfrm>
          <a:off x="4867275" y="5162550"/>
          <a:ext cx="181927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4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5"/>
          <xdr:cNvSpPr>
            <a:spLocks/>
          </xdr:cNvSpPr>
        </xdr:nvSpPr>
        <xdr:spPr>
          <a:xfrm flipH="1">
            <a:off x="5854084" y="5502200"/>
            <a:ext cx="6717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6"/>
          <xdr:cNvSpPr>
            <a:spLocks/>
          </xdr:cNvSpPr>
        </xdr:nvSpPr>
        <xdr:spPr>
          <a:xfrm>
            <a:off x="5854084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27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590550</xdr:colOff>
      <xdr:row>55</xdr:row>
      <xdr:rowOff>66675</xdr:rowOff>
    </xdr:to>
    <xdr:grpSp>
      <xdr:nvGrpSpPr>
        <xdr:cNvPr id="1" name="Gruppieren 3"/>
        <xdr:cNvGrpSpPr>
          <a:grpSpLocks/>
        </xdr:cNvGrpSpPr>
      </xdr:nvGrpSpPr>
      <xdr:grpSpPr>
        <a:xfrm>
          <a:off x="4867275" y="5162550"/>
          <a:ext cx="181927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4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5"/>
          <xdr:cNvSpPr>
            <a:spLocks/>
          </xdr:cNvSpPr>
        </xdr:nvSpPr>
        <xdr:spPr>
          <a:xfrm flipH="1">
            <a:off x="5854084" y="5502200"/>
            <a:ext cx="6717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6"/>
          <xdr:cNvSpPr>
            <a:spLocks/>
          </xdr:cNvSpPr>
        </xdr:nvSpPr>
        <xdr:spPr>
          <a:xfrm>
            <a:off x="5854084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27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590550</xdr:colOff>
      <xdr:row>55</xdr:row>
      <xdr:rowOff>66675</xdr:rowOff>
    </xdr:to>
    <xdr:grpSp>
      <xdr:nvGrpSpPr>
        <xdr:cNvPr id="1" name="Gruppieren 3"/>
        <xdr:cNvGrpSpPr>
          <a:grpSpLocks/>
        </xdr:cNvGrpSpPr>
      </xdr:nvGrpSpPr>
      <xdr:grpSpPr>
        <a:xfrm>
          <a:off x="4867275" y="5162550"/>
          <a:ext cx="1819275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4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5"/>
          <xdr:cNvSpPr>
            <a:spLocks/>
          </xdr:cNvSpPr>
        </xdr:nvSpPr>
        <xdr:spPr>
          <a:xfrm flipH="1">
            <a:off x="5854084" y="5502200"/>
            <a:ext cx="6717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6"/>
          <xdr:cNvSpPr>
            <a:spLocks/>
          </xdr:cNvSpPr>
        </xdr:nvSpPr>
        <xdr:spPr>
          <a:xfrm>
            <a:off x="5854084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27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32</xdr:row>
      <xdr:rowOff>57150</xdr:rowOff>
    </xdr:from>
    <xdr:to>
      <xdr:col>9</xdr:col>
      <xdr:colOff>504825</xdr:colOff>
      <xdr:row>51</xdr:row>
      <xdr:rowOff>0</xdr:rowOff>
    </xdr:to>
    <xdr:grpSp>
      <xdr:nvGrpSpPr>
        <xdr:cNvPr id="1" name="Gruppieren 1"/>
        <xdr:cNvGrpSpPr>
          <a:grpSpLocks/>
        </xdr:cNvGrpSpPr>
      </xdr:nvGrpSpPr>
      <xdr:grpSpPr>
        <a:xfrm>
          <a:off x="4667250" y="4362450"/>
          <a:ext cx="1819275" cy="24955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3882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5862" y="5497292"/>
            <a:ext cx="680006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5862" y="5497292"/>
            <a:ext cx="0" cy="265445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10"/>
          <xdr:cNvSpPr>
            <a:spLocks/>
          </xdr:cNvSpPr>
        </xdr:nvSpPr>
        <xdr:spPr>
          <a:xfrm flipH="1">
            <a:off x="4881355" y="8151743"/>
            <a:ext cx="964507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58</xdr:row>
      <xdr:rowOff>133350</xdr:rowOff>
    </xdr:from>
    <xdr:to>
      <xdr:col>9</xdr:col>
      <xdr:colOff>923925</xdr:colOff>
      <xdr:row>69</xdr:row>
      <xdr:rowOff>104775</xdr:rowOff>
    </xdr:to>
    <xdr:grpSp>
      <xdr:nvGrpSpPr>
        <xdr:cNvPr id="6" name="Gruppieren 11"/>
        <xdr:cNvGrpSpPr>
          <a:grpSpLocks/>
        </xdr:cNvGrpSpPr>
      </xdr:nvGrpSpPr>
      <xdr:grpSpPr>
        <a:xfrm>
          <a:off x="5476875" y="7915275"/>
          <a:ext cx="1428750" cy="1752600"/>
          <a:chOff x="5545231" y="7989794"/>
          <a:chExt cx="1429870" cy="1535766"/>
        </a:xfrm>
        <a:solidFill>
          <a:srgbClr val="FFFFFF"/>
        </a:solidFill>
      </xdr:grpSpPr>
      <xdr:grpSp>
        <xdr:nvGrpSpPr>
          <xdr:cNvPr id="7" name="Gruppieren 15"/>
          <xdr:cNvGrpSpPr>
            <a:grpSpLocks/>
          </xdr:cNvGrpSpPr>
        </xdr:nvGrpSpPr>
        <xdr:grpSpPr>
          <a:xfrm>
            <a:off x="5554883" y="7989794"/>
            <a:ext cx="1220394" cy="1055455"/>
            <a:chOff x="9837796" y="7172176"/>
            <a:chExt cx="1219418" cy="1050028"/>
          </a:xfrm>
          <a:solidFill>
            <a:srgbClr val="FFFFFF"/>
          </a:solidFill>
        </xdr:grpSpPr>
        <xdr:sp>
          <xdr:nvSpPr>
            <xdr:cNvPr id="8" name="Geschweifte Klammer links 16"/>
            <xdr:cNvSpPr>
              <a:spLocks/>
            </xdr:cNvSpPr>
          </xdr:nvSpPr>
          <xdr:spPr>
            <a:xfrm flipH="1" flipV="1">
              <a:off x="9837796" y="7172176"/>
              <a:ext cx="114320" cy="1046090"/>
            </a:xfrm>
            <a:prstGeom prst="leftBrace">
              <a:avLst>
                <a:gd name="adj" fmla="val -49087"/>
              </a:avLst>
            </a:prstGeom>
            <a:noFill/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Textfeld 17"/>
            <xdr:cNvSpPr txBox="1">
              <a:spLocks noChangeArrowheads="1"/>
            </xdr:cNvSpPr>
          </xdr:nvSpPr>
          <xdr:spPr>
            <a:xfrm>
              <a:off x="9942666" y="7537586"/>
              <a:ext cx="1114548" cy="39848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969696"/>
                  </a:solidFill>
                </a:rPr>
                <a:t>Planungs-koordination</a:t>
              </a:r>
            </a:p>
          </xdr:txBody>
        </xdr:sp>
      </xdr:grpSp>
      <xdr:grpSp>
        <xdr:nvGrpSpPr>
          <xdr:cNvPr id="10" name="Gruppieren 18"/>
          <xdr:cNvGrpSpPr>
            <a:grpSpLocks/>
          </xdr:cNvGrpSpPr>
        </xdr:nvGrpSpPr>
        <xdr:grpSpPr>
          <a:xfrm>
            <a:off x="5545231" y="9087867"/>
            <a:ext cx="1429870" cy="437693"/>
            <a:chOff x="9827458" y="7354629"/>
            <a:chExt cx="1229756" cy="773336"/>
          </a:xfrm>
          <a:solidFill>
            <a:srgbClr val="FFFFFF"/>
          </a:solidFill>
        </xdr:grpSpPr>
        <xdr:sp>
          <xdr:nvSpPr>
            <xdr:cNvPr id="11" name="Geschweifte Klammer links 14"/>
            <xdr:cNvSpPr>
              <a:spLocks/>
            </xdr:cNvSpPr>
          </xdr:nvSpPr>
          <xdr:spPr>
            <a:xfrm flipH="1" flipV="1">
              <a:off x="9827458" y="7375702"/>
              <a:ext cx="122976" cy="752263"/>
            </a:xfrm>
            <a:prstGeom prst="leftBrace">
              <a:avLst>
                <a:gd name="adj" fmla="val -48638"/>
              </a:avLst>
            </a:prstGeom>
            <a:noFill/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Textfeld 15"/>
            <xdr:cNvSpPr txBox="1">
              <a:spLocks noChangeArrowheads="1"/>
            </xdr:cNvSpPr>
          </xdr:nvSpPr>
          <xdr:spPr>
            <a:xfrm>
              <a:off x="9942133" y="7361009"/>
              <a:ext cx="1115081" cy="7669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969696"/>
                  </a:solidFill>
                  <a:latin typeface="Arial"/>
                  <a:ea typeface="Arial"/>
                  <a:cs typeface="Arial"/>
                </a:rPr>
                <a:t>Baustellen-
</a:t>
              </a:r>
              <a:r>
                <a:rPr lang="en-US" cap="none" sz="1000" b="0" i="0" u="none" baseline="0">
                  <a:solidFill>
                    <a:srgbClr val="969696"/>
                  </a:solidFill>
                  <a:latin typeface="Arial"/>
                  <a:ea typeface="Arial"/>
                  <a:cs typeface="Arial"/>
                </a:rPr>
                <a:t>koordination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76200</xdr:rowOff>
    </xdr:from>
    <xdr:to>
      <xdr:col>8</xdr:col>
      <xdr:colOff>47625</xdr:colOff>
      <xdr:row>21</xdr:row>
      <xdr:rowOff>95250</xdr:rowOff>
    </xdr:to>
    <xdr:grpSp>
      <xdr:nvGrpSpPr>
        <xdr:cNvPr id="1" name="Gruppieren 19"/>
        <xdr:cNvGrpSpPr>
          <a:grpSpLocks/>
        </xdr:cNvGrpSpPr>
      </xdr:nvGrpSpPr>
      <xdr:grpSpPr>
        <a:xfrm>
          <a:off x="4238625" y="1209675"/>
          <a:ext cx="180975" cy="1971675"/>
          <a:chOff x="5416825" y="1956764"/>
          <a:chExt cx="653661" cy="1512612"/>
        </a:xfrm>
        <a:solidFill>
          <a:srgbClr val="FFFFFF"/>
        </a:solidFill>
      </xdr:grpSpPr>
      <xdr:sp>
        <xdr:nvSpPr>
          <xdr:cNvPr id="2" name="Gewinkelte Verbindung 5"/>
          <xdr:cNvSpPr>
            <a:spLocks/>
          </xdr:cNvSpPr>
        </xdr:nvSpPr>
        <xdr:spPr>
          <a:xfrm>
            <a:off x="5451306" y="1956764"/>
            <a:ext cx="619180" cy="635675"/>
          </a:xfrm>
          <a:prstGeom prst="bentConnector3">
            <a:avLst>
              <a:gd name="adj" fmla="val 48759"/>
            </a:avLst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winkelte Verbindung 6"/>
          <xdr:cNvSpPr>
            <a:spLocks/>
          </xdr:cNvSpPr>
        </xdr:nvSpPr>
        <xdr:spPr>
          <a:xfrm flipV="1">
            <a:off x="5416825" y="2599624"/>
            <a:ext cx="653661" cy="869752"/>
          </a:xfrm>
          <a:prstGeom prst="bentConnector3">
            <a:avLst/>
          </a:prstGeom>
          <a:noFill/>
          <a:ln w="9525" cmpd="sng">
            <a:solidFill>
              <a:srgbClr val="A6A6A6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41</xdr:row>
      <xdr:rowOff>76200</xdr:rowOff>
    </xdr:from>
    <xdr:to>
      <xdr:col>12</xdr:col>
      <xdr:colOff>381000</xdr:colOff>
      <xdr:row>59</xdr:row>
      <xdr:rowOff>66675</xdr:rowOff>
    </xdr:to>
    <xdr:grpSp>
      <xdr:nvGrpSpPr>
        <xdr:cNvPr id="4" name="Gruppieren 7"/>
        <xdr:cNvGrpSpPr>
          <a:grpSpLocks/>
        </xdr:cNvGrpSpPr>
      </xdr:nvGrpSpPr>
      <xdr:grpSpPr>
        <a:xfrm>
          <a:off x="4286250" y="5838825"/>
          <a:ext cx="2428875" cy="2381250"/>
          <a:chOff x="4881355" y="5347252"/>
          <a:chExt cx="1644513" cy="2804491"/>
        </a:xfrm>
        <a:solidFill>
          <a:srgbClr val="FFFFFF"/>
        </a:solidFill>
      </xdr:grpSpPr>
      <xdr:sp>
        <xdr:nvSpPr>
          <xdr:cNvPr id="5" name="Gerade Verbindung 8"/>
          <xdr:cNvSpPr>
            <a:spLocks/>
          </xdr:cNvSpPr>
        </xdr:nvSpPr>
        <xdr:spPr>
          <a:xfrm>
            <a:off x="6525868" y="5347252"/>
            <a:ext cx="0" cy="14583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Gerade Verbindung 9"/>
          <xdr:cNvSpPr>
            <a:spLocks/>
          </xdr:cNvSpPr>
        </xdr:nvSpPr>
        <xdr:spPr>
          <a:xfrm flipH="1">
            <a:off x="5848740" y="5504303"/>
            <a:ext cx="677128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10"/>
          <xdr:cNvSpPr>
            <a:spLocks/>
          </xdr:cNvSpPr>
        </xdr:nvSpPr>
        <xdr:spPr>
          <a:xfrm>
            <a:off x="5848740" y="5504303"/>
            <a:ext cx="0" cy="264744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mit Pfeil 8"/>
          <xdr:cNvSpPr>
            <a:spLocks/>
          </xdr:cNvSpPr>
        </xdr:nvSpPr>
        <xdr:spPr>
          <a:xfrm flipH="1">
            <a:off x="4881355" y="8151743"/>
            <a:ext cx="967385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32</xdr:row>
      <xdr:rowOff>76200</xdr:rowOff>
    </xdr:from>
    <xdr:to>
      <xdr:col>9</xdr:col>
      <xdr:colOff>590550</xdr:colOff>
      <xdr:row>50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76800" y="4381500"/>
          <a:ext cx="1809750" cy="240030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0795" y="5502901"/>
            <a:ext cx="6750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0795" y="5502901"/>
            <a:ext cx="0" cy="2648842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94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29</xdr:row>
      <xdr:rowOff>66675</xdr:rowOff>
    </xdr:from>
    <xdr:to>
      <xdr:col>9</xdr:col>
      <xdr:colOff>600075</xdr:colOff>
      <xdr:row>47</xdr:row>
      <xdr:rowOff>57150</xdr:rowOff>
    </xdr:to>
    <xdr:grpSp>
      <xdr:nvGrpSpPr>
        <xdr:cNvPr id="1" name="Gruppieren 1"/>
        <xdr:cNvGrpSpPr>
          <a:grpSpLocks/>
        </xdr:cNvGrpSpPr>
      </xdr:nvGrpSpPr>
      <xdr:grpSpPr>
        <a:xfrm>
          <a:off x="4895850" y="3886200"/>
          <a:ext cx="1800225" cy="23812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583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7095" y="5504303"/>
            <a:ext cx="6787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7095" y="5504303"/>
            <a:ext cx="0" cy="264744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57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57150</xdr:rowOff>
    </xdr:from>
    <xdr:to>
      <xdr:col>9</xdr:col>
      <xdr:colOff>742950</xdr:colOff>
      <xdr:row>55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172075"/>
          <a:ext cx="1971675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0384" y="5501499"/>
            <a:ext cx="6754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0384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90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37</xdr:row>
      <xdr:rowOff>47625</xdr:rowOff>
    </xdr:from>
    <xdr:to>
      <xdr:col>9</xdr:col>
      <xdr:colOff>523875</xdr:colOff>
      <xdr:row>55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867275" y="5162550"/>
          <a:ext cx="1752600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6684" y="5501499"/>
            <a:ext cx="679184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6684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5329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37</xdr:row>
      <xdr:rowOff>57150</xdr:rowOff>
    </xdr:from>
    <xdr:to>
      <xdr:col>9</xdr:col>
      <xdr:colOff>609600</xdr:colOff>
      <xdr:row>55</xdr:row>
      <xdr:rowOff>76200</xdr:rowOff>
    </xdr:to>
    <xdr:grpSp>
      <xdr:nvGrpSpPr>
        <xdr:cNvPr id="1" name="Gruppieren 1"/>
        <xdr:cNvGrpSpPr>
          <a:grpSpLocks/>
        </xdr:cNvGrpSpPr>
      </xdr:nvGrpSpPr>
      <xdr:grpSpPr>
        <a:xfrm>
          <a:off x="4914900" y="5172075"/>
          <a:ext cx="1790700" cy="2409825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4431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43395" y="5502200"/>
            <a:ext cx="682473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43395" y="5502200"/>
            <a:ext cx="0" cy="2649543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62040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37</xdr:row>
      <xdr:rowOff>57150</xdr:rowOff>
    </xdr:from>
    <xdr:to>
      <xdr:col>9</xdr:col>
      <xdr:colOff>485775</xdr:colOff>
      <xdr:row>55</xdr:row>
      <xdr:rowOff>85725</xdr:rowOff>
    </xdr:to>
    <xdr:grpSp>
      <xdr:nvGrpSpPr>
        <xdr:cNvPr id="1" name="Gruppieren 1"/>
        <xdr:cNvGrpSpPr>
          <a:grpSpLocks/>
        </xdr:cNvGrpSpPr>
      </xdr:nvGrpSpPr>
      <xdr:grpSpPr>
        <a:xfrm>
          <a:off x="4876800" y="5172075"/>
          <a:ext cx="1704975" cy="2419350"/>
          <a:chOff x="4881355" y="5347252"/>
          <a:chExt cx="1644513" cy="2804491"/>
        </a:xfrm>
        <a:solidFill>
          <a:srgbClr val="FFFFFF"/>
        </a:solidFill>
      </xdr:grpSpPr>
      <xdr:sp>
        <xdr:nvSpPr>
          <xdr:cNvPr id="2" name="Gerade Verbindung 2"/>
          <xdr:cNvSpPr>
            <a:spLocks/>
          </xdr:cNvSpPr>
        </xdr:nvSpPr>
        <xdr:spPr>
          <a:xfrm>
            <a:off x="6525868" y="5347252"/>
            <a:ext cx="0" cy="14373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3"/>
          <xdr:cNvSpPr>
            <a:spLocks/>
          </xdr:cNvSpPr>
        </xdr:nvSpPr>
        <xdr:spPr>
          <a:xfrm flipH="1">
            <a:off x="5855318" y="5501499"/>
            <a:ext cx="670550" cy="0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"/>
          <xdr:cNvSpPr>
            <a:spLocks/>
          </xdr:cNvSpPr>
        </xdr:nvSpPr>
        <xdr:spPr>
          <a:xfrm>
            <a:off x="5855318" y="5501499"/>
            <a:ext cx="0" cy="2650244"/>
          </a:xfrm>
          <a:prstGeom prst="line">
            <a:avLst/>
          </a:prstGeom>
          <a:noFill/>
          <a:ln w="9525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mit Pfeil 5"/>
          <xdr:cNvSpPr>
            <a:spLocks/>
          </xdr:cNvSpPr>
        </xdr:nvSpPr>
        <xdr:spPr>
          <a:xfrm flipH="1">
            <a:off x="4881355" y="8151743"/>
            <a:ext cx="973963" cy="0"/>
          </a:xfrm>
          <a:prstGeom prst="straightConnector1">
            <a:avLst/>
          </a:prstGeom>
          <a:noFill/>
          <a:ln w="9525" cmpd="sng">
            <a:solidFill>
              <a:srgbClr val="7F7F7F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M102"/>
  <sheetViews>
    <sheetView showGridLines="0" tabSelected="1" zoomScale="85" zoomScaleNormal="85" zoomScaleSheetLayoutView="85" zoomScalePageLayoutView="85" workbookViewId="0" topLeftCell="A28">
      <selection activeCell="K7" sqref="K7"/>
    </sheetView>
  </sheetViews>
  <sheetFormatPr defaultColWidth="11.57421875" defaultRowHeight="15"/>
  <cols>
    <col min="1" max="1" width="2.28125" style="7" customWidth="1"/>
    <col min="2" max="2" width="3.28125" style="7" customWidth="1"/>
    <col min="3" max="3" width="32.7109375" style="8" customWidth="1"/>
    <col min="4" max="4" width="6.28125" style="46" customWidth="1"/>
    <col min="5" max="5" width="8.28125" style="46" customWidth="1"/>
    <col min="6" max="6" width="14.7109375" style="8" customWidth="1"/>
    <col min="7" max="7" width="6.7109375" style="8" customWidth="1"/>
    <col min="8" max="8" width="0.85546875" style="8" customWidth="1"/>
    <col min="9" max="9" width="7.7109375" style="46" customWidth="1"/>
    <col min="10" max="10" width="1.7109375" style="46" customWidth="1"/>
    <col min="11" max="11" width="15.7109375" style="10" customWidth="1"/>
    <col min="12" max="12" width="1.8515625" style="0" customWidth="1"/>
    <col min="13" max="13" width="11.57421875" style="0" customWidth="1"/>
    <col min="14" max="16384" width="11.57421875" style="1" customWidth="1"/>
  </cols>
  <sheetData>
    <row r="1" spans="11:13" ht="4.5" customHeight="1">
      <c r="K1" s="9"/>
      <c r="L1" s="65"/>
      <c r="M1" s="1"/>
    </row>
    <row r="2" spans="1:12" s="60" customFormat="1" ht="34.5" customHeight="1">
      <c r="A2" s="161" t="s">
        <v>119</v>
      </c>
      <c r="B2" s="13"/>
      <c r="C2" s="112"/>
      <c r="F2" s="61"/>
      <c r="G2" s="61"/>
      <c r="H2" s="61"/>
      <c r="I2" s="61"/>
      <c r="J2" s="61"/>
      <c r="K2" s="182"/>
      <c r="L2" s="68"/>
    </row>
    <row r="3" spans="1:12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2"/>
    </row>
    <row r="4" s="11" customFormat="1" ht="6" customHeight="1">
      <c r="L4" s="2"/>
    </row>
    <row r="5" spans="9:12" s="11" customFormat="1" ht="12.75" customHeight="1">
      <c r="I5" s="211" t="s">
        <v>88</v>
      </c>
      <c r="J5" s="211"/>
      <c r="K5" s="212" t="s">
        <v>51</v>
      </c>
      <c r="L5" s="50"/>
    </row>
    <row r="6" spans="11:12" s="11" customFormat="1" ht="6" customHeight="1">
      <c r="K6" s="107"/>
      <c r="L6" s="2"/>
    </row>
    <row r="7" spans="1:12" s="12" customFormat="1" ht="12.75" customHeight="1">
      <c r="A7" s="116">
        <v>1</v>
      </c>
      <c r="B7" s="117"/>
      <c r="C7" s="118" t="s">
        <v>0</v>
      </c>
      <c r="D7" s="118"/>
      <c r="E7" s="118"/>
      <c r="F7" s="119"/>
      <c r="G7" s="119"/>
      <c r="H7" s="119"/>
      <c r="I7" s="328">
        <f>K7/$K$38</f>
        <v>0.0005</v>
      </c>
      <c r="J7" s="119"/>
      <c r="K7" s="230">
        <v>15000</v>
      </c>
      <c r="L7" s="56"/>
    </row>
    <row r="8" spans="1:13" ht="6.75" customHeight="1">
      <c r="A8" s="4"/>
      <c r="B8" s="6"/>
      <c r="C8" s="1"/>
      <c r="D8" s="1"/>
      <c r="E8" s="1"/>
      <c r="F8" s="108"/>
      <c r="G8" s="108"/>
      <c r="H8" s="108"/>
      <c r="I8" s="63"/>
      <c r="J8" s="108"/>
      <c r="K8" s="231"/>
      <c r="L8" s="69"/>
      <c r="M8" s="1"/>
    </row>
    <row r="9" spans="1:12" s="12" customFormat="1" ht="12.75" customHeight="1">
      <c r="A9" s="116">
        <v>2</v>
      </c>
      <c r="B9" s="117"/>
      <c r="C9" s="118" t="s">
        <v>1</v>
      </c>
      <c r="D9" s="118"/>
      <c r="E9" s="118"/>
      <c r="F9" s="119"/>
      <c r="G9" s="119"/>
      <c r="H9" s="119"/>
      <c r="I9" s="328">
        <f>K9/$K$38</f>
        <v>0.302</v>
      </c>
      <c r="J9" s="119"/>
      <c r="K9" s="232">
        <v>9000000</v>
      </c>
      <c r="L9" s="56"/>
    </row>
    <row r="10" spans="1:13" ht="6.75" customHeight="1">
      <c r="A10" s="13"/>
      <c r="B10" s="13"/>
      <c r="C10" s="14"/>
      <c r="D10" s="14"/>
      <c r="E10" s="14"/>
      <c r="F10" s="108"/>
      <c r="G10" s="108"/>
      <c r="H10" s="108"/>
      <c r="I10" s="63"/>
      <c r="J10" s="108"/>
      <c r="K10" s="231"/>
      <c r="L10" s="56"/>
      <c r="M10" s="1"/>
    </row>
    <row r="11" spans="1:12" s="11" customFormat="1" ht="12.75" customHeight="1">
      <c r="A11" s="116">
        <v>3</v>
      </c>
      <c r="B11" s="117"/>
      <c r="C11" s="118" t="s">
        <v>7</v>
      </c>
      <c r="D11" s="118"/>
      <c r="E11" s="118"/>
      <c r="F11" s="119"/>
      <c r="G11" s="119"/>
      <c r="H11" s="119"/>
      <c r="I11" s="328">
        <f>K11/$K$38</f>
        <v>0.1896</v>
      </c>
      <c r="J11" s="119"/>
      <c r="K11" s="233">
        <f>SUM(K12:K19)</f>
        <v>5650000</v>
      </c>
      <c r="L11" s="56"/>
    </row>
    <row r="12" spans="1:13" ht="12.75" customHeight="1">
      <c r="A12" s="120">
        <v>3</v>
      </c>
      <c r="B12" s="121" t="s">
        <v>18</v>
      </c>
      <c r="C12" s="122" t="s">
        <v>19</v>
      </c>
      <c r="D12" s="122"/>
      <c r="E12" s="122"/>
      <c r="F12" s="123"/>
      <c r="G12" s="123"/>
      <c r="H12" s="123"/>
      <c r="I12" s="329"/>
      <c r="J12" s="123"/>
      <c r="K12" s="234">
        <v>900000</v>
      </c>
      <c r="L12" s="56"/>
      <c r="M12" s="1"/>
    </row>
    <row r="13" spans="1:13" ht="12.75" customHeight="1">
      <c r="A13" s="124">
        <v>3</v>
      </c>
      <c r="B13" s="125" t="s">
        <v>20</v>
      </c>
      <c r="C13" s="126" t="s">
        <v>27</v>
      </c>
      <c r="D13" s="126"/>
      <c r="E13" s="126"/>
      <c r="F13" s="127"/>
      <c r="G13" s="127"/>
      <c r="H13" s="127"/>
      <c r="I13" s="330"/>
      <c r="J13" s="127"/>
      <c r="K13" s="234">
        <v>1200000</v>
      </c>
      <c r="L13" s="56"/>
      <c r="M13" s="1"/>
    </row>
    <row r="14" spans="1:13" ht="12.75" customHeight="1">
      <c r="A14" s="124">
        <v>3</v>
      </c>
      <c r="B14" s="125" t="s">
        <v>21</v>
      </c>
      <c r="C14" s="126" t="s">
        <v>28</v>
      </c>
      <c r="D14" s="126"/>
      <c r="E14" s="126"/>
      <c r="F14" s="127"/>
      <c r="G14" s="127"/>
      <c r="H14" s="127"/>
      <c r="I14" s="330"/>
      <c r="J14" s="127"/>
      <c r="K14" s="234">
        <v>1000000</v>
      </c>
      <c r="L14" s="56"/>
      <c r="M14" s="1"/>
    </row>
    <row r="15" spans="1:13" ht="12.75" customHeight="1">
      <c r="A15" s="124">
        <v>3</v>
      </c>
      <c r="B15" s="125" t="s">
        <v>22</v>
      </c>
      <c r="C15" s="126" t="s">
        <v>29</v>
      </c>
      <c r="D15" s="126"/>
      <c r="E15" s="126"/>
      <c r="F15" s="127"/>
      <c r="G15" s="127"/>
      <c r="H15" s="127"/>
      <c r="I15" s="330"/>
      <c r="J15" s="127"/>
      <c r="K15" s="234">
        <v>1500000</v>
      </c>
      <c r="L15" s="56"/>
      <c r="M15" s="1"/>
    </row>
    <row r="16" spans="1:13" ht="12.75" customHeight="1">
      <c r="A16" s="124">
        <v>3</v>
      </c>
      <c r="B16" s="125" t="s">
        <v>23</v>
      </c>
      <c r="C16" s="126" t="s">
        <v>32</v>
      </c>
      <c r="D16" s="126"/>
      <c r="E16" s="126"/>
      <c r="F16" s="127"/>
      <c r="G16" s="127"/>
      <c r="H16" s="127"/>
      <c r="I16" s="330"/>
      <c r="J16" s="127"/>
      <c r="K16" s="234">
        <v>600000</v>
      </c>
      <c r="L16" s="56"/>
      <c r="M16" s="1"/>
    </row>
    <row r="17" spans="1:13" ht="12.75" customHeight="1">
      <c r="A17" s="124">
        <v>3</v>
      </c>
      <c r="B17" s="125" t="s">
        <v>24</v>
      </c>
      <c r="C17" s="126" t="s">
        <v>30</v>
      </c>
      <c r="D17" s="126"/>
      <c r="E17" s="126"/>
      <c r="F17" s="127"/>
      <c r="G17" s="127"/>
      <c r="H17" s="127"/>
      <c r="I17" s="330"/>
      <c r="J17" s="127"/>
      <c r="K17" s="234">
        <v>150000</v>
      </c>
      <c r="L17" s="56"/>
      <c r="M17" s="1"/>
    </row>
    <row r="18" spans="1:13" ht="12.75" customHeight="1">
      <c r="A18" s="124">
        <v>3</v>
      </c>
      <c r="B18" s="125" t="s">
        <v>25</v>
      </c>
      <c r="C18" s="126" t="s">
        <v>31</v>
      </c>
      <c r="D18" s="126"/>
      <c r="E18" s="126"/>
      <c r="F18" s="127"/>
      <c r="G18" s="127"/>
      <c r="H18" s="127"/>
      <c r="I18" s="330"/>
      <c r="J18" s="127"/>
      <c r="K18" s="234">
        <v>0</v>
      </c>
      <c r="L18" s="56"/>
      <c r="M18" s="1"/>
    </row>
    <row r="19" spans="1:13" ht="12.75" customHeight="1">
      <c r="A19" s="124">
        <v>3</v>
      </c>
      <c r="B19" s="125" t="s">
        <v>26</v>
      </c>
      <c r="C19" s="126" t="s">
        <v>8</v>
      </c>
      <c r="D19" s="126"/>
      <c r="E19" s="126"/>
      <c r="F19" s="127"/>
      <c r="G19" s="127"/>
      <c r="H19" s="127"/>
      <c r="I19" s="330"/>
      <c r="J19" s="127"/>
      <c r="K19" s="234">
        <v>300000</v>
      </c>
      <c r="L19" s="56"/>
      <c r="M19" s="1"/>
    </row>
    <row r="20" spans="1:13" ht="6.75" customHeight="1">
      <c r="A20" s="13"/>
      <c r="B20" s="13"/>
      <c r="C20" s="14"/>
      <c r="D20" s="14"/>
      <c r="E20" s="14"/>
      <c r="F20" s="108"/>
      <c r="G20" s="108"/>
      <c r="H20" s="108"/>
      <c r="I20" s="63"/>
      <c r="J20" s="108"/>
      <c r="K20" s="231"/>
      <c r="L20" s="240"/>
      <c r="M20" s="1"/>
    </row>
    <row r="21" spans="1:12" s="11" customFormat="1" ht="12.75" customHeight="1">
      <c r="A21" s="116">
        <v>4</v>
      </c>
      <c r="B21" s="117"/>
      <c r="C21" s="118" t="s">
        <v>2</v>
      </c>
      <c r="D21" s="118"/>
      <c r="E21" s="118"/>
      <c r="F21" s="119"/>
      <c r="G21" s="119"/>
      <c r="H21" s="119"/>
      <c r="I21" s="328">
        <f>K21/$K$38</f>
        <v>0.2013</v>
      </c>
      <c r="J21" s="119"/>
      <c r="K21" s="232">
        <v>6000000</v>
      </c>
      <c r="L21" s="56"/>
    </row>
    <row r="22" spans="1:13" ht="6.75" customHeight="1">
      <c r="A22" s="4"/>
      <c r="B22" s="6"/>
      <c r="C22" s="1"/>
      <c r="D22" s="1"/>
      <c r="E22" s="1"/>
      <c r="F22" s="108"/>
      <c r="G22" s="108"/>
      <c r="H22" s="108"/>
      <c r="I22" s="63"/>
      <c r="J22" s="108"/>
      <c r="K22" s="231"/>
      <c r="L22" s="54"/>
      <c r="M22" s="1"/>
    </row>
    <row r="23" spans="1:12" s="12" customFormat="1" ht="12.75" customHeight="1">
      <c r="A23" s="116">
        <v>5</v>
      </c>
      <c r="B23" s="117"/>
      <c r="C23" s="118" t="s">
        <v>9</v>
      </c>
      <c r="D23" s="118"/>
      <c r="E23" s="118"/>
      <c r="F23" s="119"/>
      <c r="G23" s="119"/>
      <c r="H23" s="119"/>
      <c r="I23" s="328">
        <f>K23/$K$38</f>
        <v>0.0554</v>
      </c>
      <c r="J23" s="119"/>
      <c r="K23" s="233">
        <f>SUM(K24:K26)</f>
        <v>1650000</v>
      </c>
      <c r="L23" s="56"/>
    </row>
    <row r="24" spans="1:13" ht="12.75" customHeight="1">
      <c r="A24" s="124">
        <v>5</v>
      </c>
      <c r="B24" s="126" t="s">
        <v>18</v>
      </c>
      <c r="C24" s="126" t="s">
        <v>282</v>
      </c>
      <c r="D24" s="126"/>
      <c r="E24" s="126"/>
      <c r="F24" s="127"/>
      <c r="G24" s="127"/>
      <c r="H24" s="127"/>
      <c r="I24" s="330"/>
      <c r="J24" s="127"/>
      <c r="K24" s="532">
        <v>600000</v>
      </c>
      <c r="L24" s="56"/>
      <c r="M24" s="1"/>
    </row>
    <row r="25" spans="1:13" ht="12.75" customHeight="1">
      <c r="A25" s="124">
        <v>5</v>
      </c>
      <c r="B25" s="126" t="s">
        <v>20</v>
      </c>
      <c r="C25" s="126" t="s">
        <v>283</v>
      </c>
      <c r="D25" s="126"/>
      <c r="E25" s="126"/>
      <c r="F25" s="127"/>
      <c r="G25" s="127"/>
      <c r="H25" s="127"/>
      <c r="I25" s="330"/>
      <c r="J25" s="127"/>
      <c r="K25" s="532">
        <v>1000000</v>
      </c>
      <c r="L25" s="56"/>
      <c r="M25" s="1"/>
    </row>
    <row r="26" spans="1:13" ht="12.75" customHeight="1">
      <c r="A26" s="124">
        <v>5</v>
      </c>
      <c r="B26" s="126" t="s">
        <v>21</v>
      </c>
      <c r="C26" s="126" t="s">
        <v>53</v>
      </c>
      <c r="D26" s="126"/>
      <c r="E26" s="126"/>
      <c r="F26" s="127"/>
      <c r="G26" s="127"/>
      <c r="H26" s="127"/>
      <c r="I26" s="330"/>
      <c r="J26" s="127"/>
      <c r="K26" s="532">
        <v>50000</v>
      </c>
      <c r="L26" s="56"/>
      <c r="M26" s="1"/>
    </row>
    <row r="27" spans="1:13" ht="6.75" customHeight="1">
      <c r="A27" s="13"/>
      <c r="B27" s="13"/>
      <c r="C27" s="14"/>
      <c r="D27" s="14"/>
      <c r="E27" s="14"/>
      <c r="F27" s="108"/>
      <c r="G27" s="108"/>
      <c r="H27" s="108"/>
      <c r="I27" s="63"/>
      <c r="J27" s="108"/>
      <c r="K27" s="231"/>
      <c r="L27" s="56"/>
      <c r="M27" s="1"/>
    </row>
    <row r="28" spans="1:12" s="11" customFormat="1" ht="12.75" customHeight="1">
      <c r="A28" s="116">
        <v>6</v>
      </c>
      <c r="B28" s="117"/>
      <c r="C28" s="118" t="s">
        <v>3</v>
      </c>
      <c r="D28" s="118"/>
      <c r="E28" s="118"/>
      <c r="F28" s="119"/>
      <c r="G28" s="119"/>
      <c r="H28" s="119"/>
      <c r="I28" s="328">
        <f>K28/$K$38</f>
        <v>0.0168</v>
      </c>
      <c r="J28" s="119"/>
      <c r="K28" s="232">
        <v>500000</v>
      </c>
      <c r="L28" s="56"/>
    </row>
    <row r="29" spans="1:13" ht="6.75" customHeight="1">
      <c r="A29" s="17"/>
      <c r="B29" s="5"/>
      <c r="C29" s="1"/>
      <c r="D29" s="1"/>
      <c r="E29" s="1"/>
      <c r="F29" s="110"/>
      <c r="G29" s="110"/>
      <c r="H29" s="110"/>
      <c r="I29" s="331"/>
      <c r="J29" s="110"/>
      <c r="K29" s="231"/>
      <c r="L29" s="56"/>
      <c r="M29" s="1"/>
    </row>
    <row r="30" spans="1:12" s="12" customFormat="1" ht="12.75" customHeight="1">
      <c r="A30" s="116">
        <v>7</v>
      </c>
      <c r="B30" s="117"/>
      <c r="C30" s="118" t="s">
        <v>141</v>
      </c>
      <c r="D30" s="118"/>
      <c r="E30" s="118"/>
      <c r="F30" s="119"/>
      <c r="G30" s="119"/>
      <c r="H30" s="119"/>
      <c r="I30" s="328">
        <f>K30/$K$38</f>
        <v>0.1795</v>
      </c>
      <c r="J30" s="119"/>
      <c r="K30" s="232">
        <v>5349398</v>
      </c>
      <c r="L30" s="56"/>
    </row>
    <row r="31" spans="1:13" ht="6.75" customHeight="1">
      <c r="A31" s="13"/>
      <c r="B31" s="13"/>
      <c r="C31" s="14"/>
      <c r="D31" s="14"/>
      <c r="E31" s="14"/>
      <c r="F31" s="110"/>
      <c r="G31" s="110"/>
      <c r="H31" s="110"/>
      <c r="I31" s="331"/>
      <c r="J31" s="110"/>
      <c r="K31" s="231"/>
      <c r="L31" s="56"/>
      <c r="M31" s="1"/>
    </row>
    <row r="32" spans="1:12" s="12" customFormat="1" ht="12.75" customHeight="1">
      <c r="A32" s="116">
        <v>8</v>
      </c>
      <c r="B32" s="117"/>
      <c r="C32" s="118" t="s">
        <v>127</v>
      </c>
      <c r="D32" s="118"/>
      <c r="E32" s="118"/>
      <c r="F32" s="119"/>
      <c r="G32" s="119"/>
      <c r="H32" s="119"/>
      <c r="I32" s="328">
        <f>K32/$K$38</f>
        <v>0.0012</v>
      </c>
      <c r="J32" s="119"/>
      <c r="K32" s="232">
        <v>36000</v>
      </c>
      <c r="L32" s="56"/>
    </row>
    <row r="33" spans="1:13" ht="6.75" customHeight="1">
      <c r="A33" s="13"/>
      <c r="B33" s="13"/>
      <c r="C33" s="14"/>
      <c r="D33" s="14"/>
      <c r="E33" s="14"/>
      <c r="F33" s="110"/>
      <c r="G33" s="110"/>
      <c r="H33" s="110"/>
      <c r="I33" s="331"/>
      <c r="J33" s="110"/>
      <c r="K33" s="231"/>
      <c r="L33" s="240"/>
      <c r="M33" s="1"/>
    </row>
    <row r="34" spans="1:12" s="12" customFormat="1" ht="12.75" customHeight="1">
      <c r="A34" s="116">
        <v>9</v>
      </c>
      <c r="B34" s="117"/>
      <c r="C34" s="118" t="s">
        <v>10</v>
      </c>
      <c r="D34" s="118"/>
      <c r="E34" s="118"/>
      <c r="F34" s="119"/>
      <c r="G34" s="119"/>
      <c r="H34" s="119"/>
      <c r="I34" s="328">
        <f>K34/$K$38</f>
        <v>0.0537</v>
      </c>
      <c r="J34" s="119"/>
      <c r="K34" s="232">
        <v>1600000</v>
      </c>
      <c r="L34" s="56"/>
    </row>
    <row r="35" spans="1:13" ht="12" customHeight="1">
      <c r="A35" s="17"/>
      <c r="B35" s="5"/>
      <c r="C35" s="1"/>
      <c r="D35" s="1"/>
      <c r="E35" s="1"/>
      <c r="F35" s="53"/>
      <c r="G35" s="53"/>
      <c r="H35" s="53"/>
      <c r="I35" s="53"/>
      <c r="J35" s="53"/>
      <c r="K35" s="54"/>
      <c r="L35" s="1"/>
      <c r="M35" s="1"/>
    </row>
    <row r="36" spans="1:11" ht="15" customHeight="1">
      <c r="A36" s="106" t="s">
        <v>307</v>
      </c>
      <c r="B36" s="100"/>
      <c r="C36" s="100"/>
      <c r="D36" s="100"/>
      <c r="E36" s="100"/>
      <c r="F36" s="111"/>
      <c r="G36" s="111"/>
      <c r="H36" s="111"/>
      <c r="I36" s="332">
        <f>SUM(I5:I32)</f>
        <v>0.9463</v>
      </c>
      <c r="J36" s="111"/>
      <c r="K36" s="134">
        <f>K9+K11+K21</f>
        <v>20650000</v>
      </c>
    </row>
    <row r="37" spans="5:12" ht="4.5" customHeight="1">
      <c r="E37" s="110"/>
      <c r="L37" s="238"/>
    </row>
    <row r="38" spans="1:13" ht="15" customHeight="1">
      <c r="A38" s="106" t="s">
        <v>12</v>
      </c>
      <c r="B38" s="100"/>
      <c r="C38" s="100"/>
      <c r="D38" s="100"/>
      <c r="E38" s="100"/>
      <c r="F38" s="111"/>
      <c r="G38" s="111"/>
      <c r="H38" s="111"/>
      <c r="I38" s="210">
        <f>SUM(I7:I34)</f>
        <v>1</v>
      </c>
      <c r="J38" s="111"/>
      <c r="K38" s="134">
        <f>SUM(K7+K9+K11+K21+K23+K28+K30+K32+K34)</f>
        <v>29800398</v>
      </c>
      <c r="L38" s="33"/>
      <c r="M38" s="1"/>
    </row>
    <row r="39" spans="5:12" ht="12.75" customHeight="1">
      <c r="E39" s="110"/>
      <c r="L39" s="238"/>
    </row>
    <row r="40" spans="1:12" ht="12.75" customHeight="1">
      <c r="A40" s="533" t="s">
        <v>308</v>
      </c>
      <c r="B40" s="534"/>
      <c r="C40" s="535" t="s">
        <v>309</v>
      </c>
      <c r="D40" s="535"/>
      <c r="E40" s="535"/>
      <c r="F40" s="536"/>
      <c r="G40" s="535"/>
      <c r="H40" s="233"/>
      <c r="I40" s="535"/>
      <c r="J40" s="233"/>
      <c r="K40" s="535"/>
      <c r="L40" s="537"/>
    </row>
    <row r="41" spans="1:12" ht="12.75" customHeight="1">
      <c r="A41" s="4"/>
      <c r="B41" s="5"/>
      <c r="C41" s="358" t="s">
        <v>310</v>
      </c>
      <c r="D41" s="358"/>
      <c r="E41" s="358"/>
      <c r="F41" s="1"/>
      <c r="G41" s="561">
        <v>2000</v>
      </c>
      <c r="H41" s="561"/>
      <c r="I41" s="561"/>
      <c r="J41" s="1"/>
      <c r="K41" s="358"/>
      <c r="L41" s="10"/>
    </row>
    <row r="42" spans="1:12" ht="12.75" customHeight="1">
      <c r="A42" s="538"/>
      <c r="B42" s="539"/>
      <c r="C42" s="540" t="s">
        <v>311</v>
      </c>
      <c r="D42" s="540"/>
      <c r="E42" s="540"/>
      <c r="F42" s="541"/>
      <c r="G42" s="562">
        <v>75</v>
      </c>
      <c r="H42" s="562"/>
      <c r="I42" s="562"/>
      <c r="J42" s="1"/>
      <c r="K42" s="358"/>
      <c r="L42" s="10"/>
    </row>
    <row r="43" spans="1:12" ht="12.75" customHeight="1">
      <c r="A43" s="4"/>
      <c r="B43" s="5"/>
      <c r="C43" s="358" t="s">
        <v>312</v>
      </c>
      <c r="D43" s="358"/>
      <c r="E43" s="358"/>
      <c r="F43" s="1"/>
      <c r="G43" s="563">
        <f>G41*G42</f>
        <v>150000</v>
      </c>
      <c r="H43" s="563"/>
      <c r="I43" s="563"/>
      <c r="J43" s="1"/>
      <c r="K43" s="358"/>
      <c r="L43" s="10"/>
    </row>
    <row r="44" spans="5:12" ht="29.25" customHeight="1">
      <c r="E44" s="110"/>
      <c r="L44" s="238"/>
    </row>
    <row r="45" spans="1:13" s="60" customFormat="1" ht="12.75" customHeight="1">
      <c r="A45" s="161" t="s">
        <v>113</v>
      </c>
      <c r="B45" s="13"/>
      <c r="C45" s="112"/>
      <c r="F45" s="61"/>
      <c r="G45" s="61"/>
      <c r="H45" s="61"/>
      <c r="I45" s="61"/>
      <c r="J45" s="61"/>
      <c r="K45" s="182"/>
      <c r="L45" s="239"/>
      <c r="M45" s="62"/>
    </row>
    <row r="46" spans="1:11" s="11" customFormat="1" ht="4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5"/>
    </row>
    <row r="47" s="11" customFormat="1" ht="4.5" customHeight="1">
      <c r="K47" s="2"/>
    </row>
    <row r="48" spans="7:11" s="11" customFormat="1" ht="12.75" customHeight="1">
      <c r="G48" s="235" t="s">
        <v>134</v>
      </c>
      <c r="H48" s="294"/>
      <c r="I48" s="294" t="s">
        <v>123</v>
      </c>
      <c r="J48" s="202"/>
      <c r="K48" s="2"/>
    </row>
    <row r="49" spans="6:11" s="11" customFormat="1" ht="4.5" customHeight="1">
      <c r="F49" s="198"/>
      <c r="G49" s="198"/>
      <c r="H49" s="198"/>
      <c r="K49" s="2"/>
    </row>
    <row r="50" spans="1:13" ht="4.5" customHeight="1">
      <c r="A50" s="4"/>
      <c r="B50" s="6"/>
      <c r="C50" s="1"/>
      <c r="D50" s="1"/>
      <c r="E50" s="108"/>
      <c r="F50" s="108"/>
      <c r="G50" s="63"/>
      <c r="H50" s="108"/>
      <c r="I50" s="295"/>
      <c r="J50" s="242"/>
      <c r="K50" s="187"/>
      <c r="L50" s="243"/>
      <c r="M50" s="183"/>
    </row>
    <row r="51" spans="1:11" s="12" customFormat="1" ht="12.75" customHeight="1">
      <c r="A51" s="189" t="s">
        <v>327</v>
      </c>
      <c r="B51" s="190"/>
      <c r="C51" s="191"/>
      <c r="D51" s="191"/>
      <c r="E51" s="119"/>
      <c r="F51" s="119"/>
      <c r="G51" s="328">
        <f>K51/$K$36</f>
        <v>0.0236</v>
      </c>
      <c r="H51" s="328"/>
      <c r="I51" s="333">
        <f>K51/$K$38</f>
        <v>0.0164</v>
      </c>
      <c r="J51" s="241"/>
      <c r="K51" s="192">
        <f>'GP2b Mgt. NEU'!J83</f>
        <v>488328</v>
      </c>
    </row>
    <row r="52" spans="1:13" ht="4.5" customHeight="1">
      <c r="A52" s="60"/>
      <c r="B52" s="60"/>
      <c r="C52" s="1"/>
      <c r="D52" s="1"/>
      <c r="E52" s="108"/>
      <c r="F52" s="108"/>
      <c r="G52" s="63"/>
      <c r="H52" s="63"/>
      <c r="I52" s="334"/>
      <c r="J52" s="242"/>
      <c r="K52" s="186"/>
      <c r="L52" s="243"/>
      <c r="M52" s="183"/>
    </row>
    <row r="53" spans="1:11" s="184" customFormat="1" ht="12.75" customHeight="1">
      <c r="A53" s="189" t="s">
        <v>115</v>
      </c>
      <c r="B53" s="190"/>
      <c r="C53" s="191"/>
      <c r="D53" s="191"/>
      <c r="E53" s="119"/>
      <c r="F53" s="119"/>
      <c r="G53" s="328">
        <f>K53/$K$36</f>
        <v>0.0059</v>
      </c>
      <c r="H53" s="328"/>
      <c r="I53" s="333">
        <f>K53/$K$38</f>
        <v>0.0041</v>
      </c>
      <c r="J53" s="241"/>
      <c r="K53" s="192">
        <f>BauKG!J71</f>
        <v>121467</v>
      </c>
    </row>
    <row r="54" spans="1:13" ht="4.5" customHeight="1">
      <c r="A54" s="60"/>
      <c r="B54" s="60"/>
      <c r="C54" s="1"/>
      <c r="D54" s="1"/>
      <c r="E54" s="108"/>
      <c r="F54" s="108"/>
      <c r="G54" s="63"/>
      <c r="H54" s="63"/>
      <c r="I54" s="334"/>
      <c r="J54" s="242"/>
      <c r="K54" s="186"/>
      <c r="L54" s="243"/>
      <c r="M54" s="183"/>
    </row>
    <row r="55" spans="1:11" s="184" customFormat="1" ht="12.75" customHeight="1">
      <c r="A55" s="189" t="s">
        <v>68</v>
      </c>
      <c r="B55" s="190"/>
      <c r="C55" s="191"/>
      <c r="D55" s="191"/>
      <c r="E55" s="119"/>
      <c r="F55" s="119"/>
      <c r="G55" s="328">
        <f>K55/$K$36</f>
        <v>0.1078</v>
      </c>
      <c r="H55" s="328"/>
      <c r="I55" s="333">
        <f>K55/$K$38</f>
        <v>0.0747</v>
      </c>
      <c r="J55" s="241"/>
      <c r="K55" s="192">
        <f>'Objektplanung Architektur'!M87</f>
        <v>2226082</v>
      </c>
    </row>
    <row r="56" spans="1:13" ht="4.5" customHeight="1">
      <c r="A56" s="4"/>
      <c r="B56" s="6"/>
      <c r="C56" s="1"/>
      <c r="D56" s="1"/>
      <c r="E56" s="108"/>
      <c r="F56" s="108"/>
      <c r="G56" s="63"/>
      <c r="H56" s="63"/>
      <c r="I56" s="334"/>
      <c r="J56" s="242"/>
      <c r="K56" s="186"/>
      <c r="L56" s="244"/>
      <c r="M56" s="183"/>
    </row>
    <row r="57" spans="1:11" s="12" customFormat="1" ht="12.75" customHeight="1">
      <c r="A57" s="189" t="s">
        <v>105</v>
      </c>
      <c r="B57" s="190"/>
      <c r="C57" s="191"/>
      <c r="D57" s="191"/>
      <c r="E57" s="119"/>
      <c r="F57" s="119"/>
      <c r="G57" s="328">
        <f>K57/$K$36</f>
        <v>0.0097</v>
      </c>
      <c r="H57" s="328"/>
      <c r="I57" s="333">
        <f>K57/$K$38</f>
        <v>0.0067</v>
      </c>
      <c r="J57" s="241"/>
      <c r="K57" s="192">
        <f>'ED zusammen'!J76</f>
        <v>199789</v>
      </c>
    </row>
    <row r="58" spans="1:13" ht="4.5" customHeight="1">
      <c r="A58" s="60"/>
      <c r="B58" s="60"/>
      <c r="C58" s="1"/>
      <c r="D58" s="1"/>
      <c r="E58" s="108"/>
      <c r="F58" s="108"/>
      <c r="G58" s="63"/>
      <c r="H58" s="63"/>
      <c r="I58" s="334"/>
      <c r="J58" s="242"/>
      <c r="K58" s="186"/>
      <c r="L58" s="244"/>
      <c r="M58" s="183"/>
    </row>
    <row r="59" spans="1:11" s="184" customFormat="1" ht="12.75" customHeight="1">
      <c r="A59" s="189" t="s">
        <v>67</v>
      </c>
      <c r="B59" s="190"/>
      <c r="C59" s="191"/>
      <c r="D59" s="191"/>
      <c r="E59" s="119"/>
      <c r="F59" s="119"/>
      <c r="G59" s="328">
        <f>K59/$K$36</f>
        <v>0.0043</v>
      </c>
      <c r="H59" s="328"/>
      <c r="I59" s="333">
        <f>K59/$K$38</f>
        <v>0.003</v>
      </c>
      <c r="J59" s="241"/>
      <c r="K59" s="192">
        <f>Freianlagen!J74</f>
        <v>88335</v>
      </c>
    </row>
    <row r="60" spans="1:13" ht="4.5" customHeight="1">
      <c r="A60" s="17"/>
      <c r="B60" s="5"/>
      <c r="C60" s="1"/>
      <c r="D60" s="1"/>
      <c r="E60" s="110"/>
      <c r="F60" s="110"/>
      <c r="G60" s="331"/>
      <c r="H60" s="331"/>
      <c r="I60" s="334"/>
      <c r="J60" s="242"/>
      <c r="K60" s="186"/>
      <c r="L60" s="18"/>
      <c r="M60" s="185"/>
    </row>
    <row r="61" spans="1:12" s="12" customFormat="1" ht="12.75" customHeight="1">
      <c r="A61" s="189" t="s">
        <v>69</v>
      </c>
      <c r="B61" s="190"/>
      <c r="C61" s="191"/>
      <c r="D61" s="191"/>
      <c r="E61" s="119"/>
      <c r="F61" s="119"/>
      <c r="G61" s="328">
        <f>K61/$K$36</f>
        <v>0.0348</v>
      </c>
      <c r="H61" s="328"/>
      <c r="I61" s="333">
        <f>K61/$K$38</f>
        <v>0.0241</v>
      </c>
      <c r="J61" s="241"/>
      <c r="K61" s="192">
        <f>Tragwerksplanung!J80</f>
        <v>718500</v>
      </c>
      <c r="L61" s="3"/>
    </row>
    <row r="62" spans="1:13" ht="4.5" customHeight="1">
      <c r="A62" s="60"/>
      <c r="B62" s="60"/>
      <c r="C62" s="1"/>
      <c r="D62" s="1"/>
      <c r="E62" s="110"/>
      <c r="F62" s="110"/>
      <c r="G62" s="331"/>
      <c r="H62" s="331"/>
      <c r="I62" s="334"/>
      <c r="J62" s="242"/>
      <c r="K62" s="186"/>
      <c r="L62" s="18"/>
      <c r="M62" s="183"/>
    </row>
    <row r="63" spans="1:12" s="12" customFormat="1" ht="12.75" customHeight="1">
      <c r="A63" s="189" t="s">
        <v>73</v>
      </c>
      <c r="B63" s="190"/>
      <c r="C63" s="191"/>
      <c r="D63" s="191"/>
      <c r="E63" s="119"/>
      <c r="F63" s="119"/>
      <c r="G63" s="328">
        <f>K63/$K$36</f>
        <v>0.0014</v>
      </c>
      <c r="H63" s="328"/>
      <c r="I63" s="333">
        <f>K63/$K$38</f>
        <v>0.001</v>
      </c>
      <c r="J63" s="241"/>
      <c r="K63" s="192">
        <f>'BPH-Thermisch'!J80</f>
        <v>29719</v>
      </c>
      <c r="L63" s="50"/>
    </row>
    <row r="64" spans="1:13" ht="4.5" customHeight="1">
      <c r="A64" s="60"/>
      <c r="B64" s="60"/>
      <c r="C64" s="1"/>
      <c r="D64" s="1"/>
      <c r="E64" s="110"/>
      <c r="F64" s="110"/>
      <c r="G64" s="331"/>
      <c r="H64" s="331"/>
      <c r="I64" s="334"/>
      <c r="J64" s="242"/>
      <c r="K64" s="186"/>
      <c r="L64" s="33"/>
      <c r="M64" s="183"/>
    </row>
    <row r="65" spans="1:12" s="12" customFormat="1" ht="12.75" customHeight="1">
      <c r="A65" s="189" t="s">
        <v>80</v>
      </c>
      <c r="B65" s="190"/>
      <c r="C65" s="191"/>
      <c r="D65" s="191"/>
      <c r="E65" s="119"/>
      <c r="F65" s="119"/>
      <c r="G65" s="328">
        <f>K65/$K$36</f>
        <v>0.0014</v>
      </c>
      <c r="H65" s="328"/>
      <c r="I65" s="333">
        <f>K65/$K$38</f>
        <v>0.001</v>
      </c>
      <c r="J65" s="241"/>
      <c r="K65" s="192">
        <f>'BPH-Schallschutz'!J80</f>
        <v>28589</v>
      </c>
      <c r="L65" s="33"/>
    </row>
    <row r="66" spans="1:13" ht="4.5" customHeight="1">
      <c r="A66" s="152"/>
      <c r="B66" s="152"/>
      <c r="C66" s="46"/>
      <c r="F66" s="46"/>
      <c r="G66" s="335"/>
      <c r="H66" s="335"/>
      <c r="I66" s="334"/>
      <c r="J66" s="242"/>
      <c r="K66" s="188"/>
      <c r="L66" s="33"/>
      <c r="M66" s="183"/>
    </row>
    <row r="67" spans="1:11" s="12" customFormat="1" ht="12.75" customHeight="1">
      <c r="A67" s="189" t="s">
        <v>81</v>
      </c>
      <c r="B67" s="190"/>
      <c r="C67" s="191"/>
      <c r="D67" s="191"/>
      <c r="E67" s="119"/>
      <c r="F67" s="119"/>
      <c r="G67" s="328">
        <f>K67/$K$36</f>
        <v>0.0004</v>
      </c>
      <c r="H67" s="328"/>
      <c r="I67" s="333">
        <f>K67/$K$38</f>
        <v>0.0003</v>
      </c>
      <c r="J67" s="241"/>
      <c r="K67" s="192">
        <f>'BPH-Raumakustik'!J82</f>
        <v>8369</v>
      </c>
    </row>
    <row r="68" spans="1:13" ht="4.5" customHeight="1">
      <c r="A68" s="60"/>
      <c r="B68" s="60"/>
      <c r="C68" s="1"/>
      <c r="D68" s="1"/>
      <c r="E68" s="108"/>
      <c r="F68" s="108"/>
      <c r="G68" s="63"/>
      <c r="H68" s="63"/>
      <c r="I68" s="334"/>
      <c r="J68" s="242"/>
      <c r="K68" s="186"/>
      <c r="L68" s="244"/>
      <c r="M68" s="183"/>
    </row>
    <row r="69" spans="1:11" s="184" customFormat="1" ht="12.75" customHeight="1">
      <c r="A69" s="189" t="s">
        <v>319</v>
      </c>
      <c r="B69" s="190"/>
      <c r="C69" s="191"/>
      <c r="D69" s="191"/>
      <c r="E69" s="119"/>
      <c r="F69" s="119"/>
      <c r="G69" s="328">
        <f>K69/$K$36</f>
        <v>0.0237</v>
      </c>
      <c r="H69" s="328"/>
      <c r="I69" s="333">
        <f>K69/$K$38</f>
        <v>0.0164</v>
      </c>
      <c r="J69" s="241"/>
      <c r="K69" s="192">
        <f>TA_HKLS!J83</f>
        <v>489263</v>
      </c>
    </row>
    <row r="70" spans="1:13" ht="4.5" customHeight="1">
      <c r="A70" s="60"/>
      <c r="B70" s="60"/>
      <c r="C70" s="1"/>
      <c r="D70" s="1"/>
      <c r="E70" s="108"/>
      <c r="F70" s="108"/>
      <c r="G70" s="63"/>
      <c r="H70" s="63"/>
      <c r="I70" s="547"/>
      <c r="J70" s="242"/>
      <c r="K70" s="186"/>
      <c r="L70" s="244"/>
      <c r="M70" s="183"/>
    </row>
    <row r="71" spans="1:11" s="184" customFormat="1" ht="12.75" customHeight="1">
      <c r="A71" s="189" t="s">
        <v>320</v>
      </c>
      <c r="B71" s="190"/>
      <c r="C71" s="191"/>
      <c r="D71" s="191"/>
      <c r="E71" s="119"/>
      <c r="F71" s="119"/>
      <c r="G71" s="328">
        <f>K71/$K$36</f>
        <v>0.0174</v>
      </c>
      <c r="H71" s="328"/>
      <c r="I71" s="333">
        <f>K71/$K$38</f>
        <v>0.0121</v>
      </c>
      <c r="J71" s="241"/>
      <c r="K71" s="192">
        <f>TA_E!J83</f>
        <v>359119</v>
      </c>
    </row>
    <row r="72" spans="1:13" ht="4.5" customHeight="1">
      <c r="A72" s="60"/>
      <c r="B72" s="60"/>
      <c r="C72" s="1"/>
      <c r="D72" s="1"/>
      <c r="E72" s="108"/>
      <c r="F72" s="108"/>
      <c r="G72" s="63"/>
      <c r="H72" s="63"/>
      <c r="I72" s="547"/>
      <c r="J72" s="242"/>
      <c r="K72" s="186"/>
      <c r="L72" s="244"/>
      <c r="M72" s="183"/>
    </row>
    <row r="73" spans="1:11" s="184" customFormat="1" ht="12.75" customHeight="1">
      <c r="A73" s="189" t="s">
        <v>321</v>
      </c>
      <c r="B73" s="190"/>
      <c r="C73" s="191"/>
      <c r="D73" s="191"/>
      <c r="E73" s="119"/>
      <c r="F73" s="119"/>
      <c r="G73" s="328">
        <f>K73/$K$36</f>
        <v>0.0047</v>
      </c>
      <c r="H73" s="328"/>
      <c r="I73" s="333">
        <f>K73/$K$38</f>
        <v>0.0033</v>
      </c>
      <c r="J73" s="241"/>
      <c r="K73" s="192">
        <f>TA_FöTe!J83</f>
        <v>96937</v>
      </c>
    </row>
    <row r="74" spans="1:13" ht="4.5" customHeight="1">
      <c r="A74" s="60"/>
      <c r="B74" s="60"/>
      <c r="C74" s="1"/>
      <c r="D74" s="1"/>
      <c r="E74" s="108"/>
      <c r="F74" s="108"/>
      <c r="G74" s="63"/>
      <c r="H74" s="63"/>
      <c r="I74" s="547"/>
      <c r="J74" s="242"/>
      <c r="K74" s="186"/>
      <c r="L74" s="244"/>
      <c r="M74" s="183"/>
    </row>
    <row r="75" spans="1:11" s="184" customFormat="1" ht="12.75" customHeight="1">
      <c r="A75" s="189" t="s">
        <v>322</v>
      </c>
      <c r="B75" s="190"/>
      <c r="C75" s="191"/>
      <c r="D75" s="191"/>
      <c r="E75" s="119"/>
      <c r="F75" s="119"/>
      <c r="G75" s="328">
        <f>K75/$K$36</f>
        <v>0.0058</v>
      </c>
      <c r="H75" s="328"/>
      <c r="I75" s="333">
        <f>K75/$K$38</f>
        <v>0.004</v>
      </c>
      <c r="J75" s="241"/>
      <c r="K75" s="192">
        <f>TA_GA!J83</f>
        <v>120645</v>
      </c>
    </row>
    <row r="76" spans="1:13" ht="4.5" customHeight="1">
      <c r="A76" s="60"/>
      <c r="B76" s="60"/>
      <c r="C76" s="1"/>
      <c r="D76" s="1"/>
      <c r="E76" s="108"/>
      <c r="F76" s="108"/>
      <c r="G76" s="63"/>
      <c r="H76" s="63"/>
      <c r="I76" s="547"/>
      <c r="J76" s="242"/>
      <c r="K76" s="186"/>
      <c r="L76" s="244"/>
      <c r="M76" s="183"/>
    </row>
    <row r="77" spans="1:11" s="184" customFormat="1" ht="12.75" customHeight="1">
      <c r="A77" s="189" t="s">
        <v>313</v>
      </c>
      <c r="B77" s="190"/>
      <c r="C77" s="191"/>
      <c r="D77" s="191"/>
      <c r="E77" s="119"/>
      <c r="F77" s="119"/>
      <c r="G77" s="328">
        <f>K77/$K$36</f>
        <v>0</v>
      </c>
      <c r="H77" s="328"/>
      <c r="I77" s="333">
        <f>K77/$K$38</f>
        <v>0</v>
      </c>
      <c r="J77" s="241"/>
      <c r="K77" s="192">
        <f>Brand_ohne_NK</f>
        <v>0</v>
      </c>
    </row>
    <row r="78" spans="11:13" ht="12.75" customHeight="1">
      <c r="K78" s="245"/>
      <c r="L78" s="246"/>
      <c r="M78" s="49"/>
    </row>
    <row r="79" spans="1:13" s="35" customFormat="1" ht="12.75">
      <c r="A79" s="141" t="s">
        <v>314</v>
      </c>
      <c r="B79" s="142"/>
      <c r="C79" s="143"/>
      <c r="D79" s="143"/>
      <c r="E79" s="145"/>
      <c r="F79" s="145"/>
      <c r="G79" s="145"/>
      <c r="H79" s="145"/>
      <c r="I79" s="201" t="s">
        <v>315</v>
      </c>
      <c r="J79" s="201"/>
      <c r="K79" s="146">
        <f>SUM(K50:K77)</f>
        <v>4975142</v>
      </c>
      <c r="L79" s="90"/>
      <c r="M79" s="92"/>
    </row>
    <row r="80" spans="1:13" s="35" customFormat="1" ht="4.5" customHeight="1">
      <c r="A80" s="36"/>
      <c r="B80" s="37"/>
      <c r="C80" s="37"/>
      <c r="D80" s="72"/>
      <c r="E80" s="73"/>
      <c r="F80" s="73"/>
      <c r="G80" s="73"/>
      <c r="H80" s="73"/>
      <c r="I80" s="74"/>
      <c r="J80" s="74"/>
      <c r="K80" s="135"/>
      <c r="L80" s="39"/>
      <c r="M80" s="94"/>
    </row>
    <row r="81" spans="1:13" s="35" customFormat="1" ht="12.75">
      <c r="A81" s="75" t="s">
        <v>13</v>
      </c>
      <c r="B81" s="36"/>
      <c r="C81" s="37"/>
      <c r="D81" s="37"/>
      <c r="E81" s="83"/>
      <c r="F81" s="83"/>
      <c r="G81" s="83"/>
      <c r="H81" s="83"/>
      <c r="I81" s="196"/>
      <c r="J81" s="196"/>
      <c r="K81" s="136">
        <f>'GP2b Mgt. NEU'!J85+BauKG!J77+'Objektplanung Architektur'!M89+'ED zusammen'!J78+Freianlagen!J76+Tragwerksplanung!J82+'BPH-Thermisch'!J82+'BPH-Schallschutz'!J82+'BPH-Raumakustik'!J84+TA_HKLS!J85+TA_E!J85+TA_FöTe!J85+TA_GA!J85+Brand!I26</f>
        <v>199007</v>
      </c>
      <c r="L81" s="95"/>
      <c r="M81" s="94"/>
    </row>
    <row r="82" spans="1:13" s="35" customFormat="1" ht="3" customHeight="1">
      <c r="A82" s="76"/>
      <c r="B82" s="77"/>
      <c r="C82" s="78"/>
      <c r="D82" s="78"/>
      <c r="E82" s="85"/>
      <c r="F82" s="85"/>
      <c r="G82" s="85"/>
      <c r="H82" s="85"/>
      <c r="I82" s="199"/>
      <c r="J82" s="203"/>
      <c r="K82" s="137"/>
      <c r="L82" s="39"/>
      <c r="M82" s="94"/>
    </row>
    <row r="83" spans="1:13" s="35" customFormat="1" ht="3" customHeight="1">
      <c r="A83" s="36"/>
      <c r="B83" s="37"/>
      <c r="C83" s="37"/>
      <c r="D83" s="88"/>
      <c r="E83" s="88"/>
      <c r="F83" s="88"/>
      <c r="G83" s="88"/>
      <c r="H83" s="88"/>
      <c r="I83" s="200"/>
      <c r="J83" s="204"/>
      <c r="K83" s="135"/>
      <c r="L83" s="39"/>
      <c r="M83" s="94"/>
    </row>
    <row r="84" spans="1:13" s="35" customFormat="1" ht="12.75">
      <c r="A84" s="80" t="s">
        <v>144</v>
      </c>
      <c r="B84" s="82"/>
      <c r="C84" s="82"/>
      <c r="D84" s="38"/>
      <c r="E84" s="38"/>
      <c r="G84" s="542" t="s">
        <v>316</v>
      </c>
      <c r="H84" s="214"/>
      <c r="I84" s="336">
        <f>K84/K38</f>
        <v>0.1736</v>
      </c>
      <c r="J84" s="204"/>
      <c r="K84" s="138">
        <f>K79+K81</f>
        <v>5174149</v>
      </c>
      <c r="L84" s="96"/>
      <c r="M84" s="98"/>
    </row>
    <row r="85" spans="1:13" s="35" customFormat="1" ht="4.5" customHeight="1">
      <c r="A85" s="81"/>
      <c r="B85" s="82"/>
      <c r="C85" s="82"/>
      <c r="D85" s="38"/>
      <c r="E85" s="38"/>
      <c r="F85" s="38"/>
      <c r="G85" s="38"/>
      <c r="H85" s="38"/>
      <c r="I85" s="337"/>
      <c r="J85" s="204"/>
      <c r="K85" s="138"/>
      <c r="L85" s="96"/>
      <c r="M85" s="98"/>
    </row>
    <row r="86" spans="1:13" s="35" customFormat="1" ht="12.75">
      <c r="A86" s="193" t="s">
        <v>142</v>
      </c>
      <c r="B86" s="82"/>
      <c r="C86" s="82"/>
      <c r="D86" s="38"/>
      <c r="E86" s="38"/>
      <c r="F86" s="38"/>
      <c r="G86" s="38"/>
      <c r="H86" s="38"/>
      <c r="I86" s="338">
        <v>0.02</v>
      </c>
      <c r="J86" s="196"/>
      <c r="K86" s="197">
        <f>I86*K84</f>
        <v>103483</v>
      </c>
      <c r="L86" s="96"/>
      <c r="M86" s="98"/>
    </row>
    <row r="87" spans="1:13" s="35" customFormat="1" ht="3" customHeight="1">
      <c r="A87" s="81"/>
      <c r="B87" s="82"/>
      <c r="C87" s="82"/>
      <c r="D87" s="38"/>
      <c r="E87" s="38"/>
      <c r="F87" s="38"/>
      <c r="G87" s="38"/>
      <c r="H87" s="38"/>
      <c r="I87" s="337"/>
      <c r="J87" s="204"/>
      <c r="K87" s="197"/>
      <c r="L87" s="96"/>
      <c r="M87" s="98"/>
    </row>
    <row r="88" spans="1:13" s="35" customFormat="1" ht="12.75">
      <c r="A88" s="193" t="s">
        <v>125</v>
      </c>
      <c r="B88" s="82"/>
      <c r="C88" s="82"/>
      <c r="D88" s="38"/>
      <c r="F88" s="237" t="s">
        <v>126</v>
      </c>
      <c r="G88" s="237"/>
      <c r="H88" s="213"/>
      <c r="I88" s="338">
        <v>0.015</v>
      </c>
      <c r="J88" s="196"/>
      <c r="K88" s="197">
        <f>I88*K84</f>
        <v>77612</v>
      </c>
      <c r="L88" s="96"/>
      <c r="M88" s="98"/>
    </row>
    <row r="89" spans="1:13" s="35" customFormat="1" ht="3" customHeight="1">
      <c r="A89" s="81"/>
      <c r="B89" s="82"/>
      <c r="C89" s="82"/>
      <c r="D89" s="38"/>
      <c r="E89" s="38"/>
      <c r="F89" s="38"/>
      <c r="G89" s="38"/>
      <c r="H89" s="38"/>
      <c r="I89" s="41"/>
      <c r="J89" s="196"/>
      <c r="K89" s="197"/>
      <c r="L89" s="96"/>
      <c r="M89" s="98"/>
    </row>
    <row r="90" spans="1:13" s="35" customFormat="1" ht="12.75">
      <c r="A90" s="193" t="s">
        <v>121</v>
      </c>
      <c r="B90" s="82"/>
      <c r="C90" s="82"/>
      <c r="D90" s="38"/>
      <c r="E90" s="38"/>
      <c r="F90" s="38"/>
      <c r="G90" s="38"/>
      <c r="H90" s="38"/>
      <c r="I90" s="338">
        <v>0.015</v>
      </c>
      <c r="J90" s="196"/>
      <c r="K90" s="197">
        <f>K84*I90</f>
        <v>77612</v>
      </c>
      <c r="L90" s="96"/>
      <c r="M90" s="98"/>
    </row>
    <row r="91" spans="1:13" s="35" customFormat="1" ht="3" customHeight="1">
      <c r="A91" s="81"/>
      <c r="B91" s="82"/>
      <c r="C91" s="82"/>
      <c r="D91" s="38"/>
      <c r="E91" s="38"/>
      <c r="F91" s="38"/>
      <c r="G91" s="38"/>
      <c r="H91" s="38"/>
      <c r="I91" s="41"/>
      <c r="J91" s="196"/>
      <c r="K91" s="138"/>
      <c r="L91" s="96"/>
      <c r="M91" s="98"/>
    </row>
    <row r="92" spans="1:13" s="35" customFormat="1" ht="3" customHeight="1">
      <c r="A92" s="76"/>
      <c r="B92" s="78"/>
      <c r="C92" s="78"/>
      <c r="D92" s="85"/>
      <c r="E92" s="85"/>
      <c r="F92" s="85"/>
      <c r="G92" s="85"/>
      <c r="H92" s="85"/>
      <c r="I92" s="339"/>
      <c r="J92" s="86"/>
      <c r="K92" s="137"/>
      <c r="L92" s="39"/>
      <c r="M92" s="94"/>
    </row>
    <row r="93" spans="2:13" s="35" customFormat="1" ht="3" customHeight="1">
      <c r="B93" s="37"/>
      <c r="C93" s="37"/>
      <c r="D93" s="88"/>
      <c r="E93" s="88"/>
      <c r="F93" s="88"/>
      <c r="G93" s="88"/>
      <c r="H93" s="88"/>
      <c r="I93" s="340"/>
      <c r="J93" s="84"/>
      <c r="K93" s="135"/>
      <c r="L93" s="39"/>
      <c r="M93" s="94"/>
    </row>
    <row r="94" spans="1:13" s="35" customFormat="1" ht="12.75">
      <c r="A94" s="80" t="s">
        <v>145</v>
      </c>
      <c r="B94" s="82"/>
      <c r="C94" s="82"/>
      <c r="D94" s="38"/>
      <c r="E94" s="38"/>
      <c r="F94" s="38"/>
      <c r="G94" s="38"/>
      <c r="H94" s="38"/>
      <c r="I94" s="337"/>
      <c r="J94" s="84"/>
      <c r="K94" s="138">
        <f>SUM(K84:K91)</f>
        <v>5432856</v>
      </c>
      <c r="L94" s="96"/>
      <c r="M94" s="98"/>
    </row>
    <row r="95" spans="2:13" s="35" customFormat="1" ht="4.5" customHeight="1">
      <c r="B95" s="82"/>
      <c r="C95" s="82"/>
      <c r="D95" s="38"/>
      <c r="E95" s="38"/>
      <c r="F95" s="38"/>
      <c r="G95" s="38"/>
      <c r="H95" s="38"/>
      <c r="I95" s="337"/>
      <c r="J95" s="84"/>
      <c r="K95" s="138"/>
      <c r="L95" s="96"/>
      <c r="M95" s="98"/>
    </row>
    <row r="96" spans="1:13" s="35" customFormat="1" ht="12.75">
      <c r="A96" s="35" t="s">
        <v>14</v>
      </c>
      <c r="C96" s="37"/>
      <c r="D96" s="79"/>
      <c r="E96" s="79"/>
      <c r="F96" s="79"/>
      <c r="G96" s="79"/>
      <c r="H96" s="79"/>
      <c r="I96" s="41">
        <v>0.2</v>
      </c>
      <c r="J96" s="196"/>
      <c r="K96" s="139">
        <f>ROUND(K84*I96,2)</f>
        <v>1034830</v>
      </c>
      <c r="L96" s="39"/>
      <c r="M96" s="99"/>
    </row>
    <row r="97" spans="1:13" s="35" customFormat="1" ht="3" customHeight="1">
      <c r="A97" s="40"/>
      <c r="B97" s="87"/>
      <c r="C97" s="87"/>
      <c r="D97" s="79"/>
      <c r="E97" s="79"/>
      <c r="F97" s="79"/>
      <c r="G97" s="79"/>
      <c r="H97" s="79"/>
      <c r="I97" s="341"/>
      <c r="J97" s="74"/>
      <c r="K97" s="140"/>
      <c r="L97" s="39"/>
      <c r="M97" s="94"/>
    </row>
    <row r="98" spans="1:13" s="40" customFormat="1" ht="12.75">
      <c r="A98" s="296" t="s">
        <v>146</v>
      </c>
      <c r="B98" s="297"/>
      <c r="C98" s="297"/>
      <c r="D98" s="298"/>
      <c r="E98" s="299"/>
      <c r="F98" s="299"/>
      <c r="G98" s="299"/>
      <c r="H98" s="299"/>
      <c r="I98" s="342"/>
      <c r="J98" s="300"/>
      <c r="K98" s="301">
        <f>SUM(K94:K96)</f>
        <v>6467686</v>
      </c>
      <c r="L98" s="96"/>
      <c r="M98" s="98"/>
    </row>
    <row r="99" spans="2:13" s="35" customFormat="1" ht="6.75" customHeight="1">
      <c r="B99" s="37"/>
      <c r="C99" s="37"/>
      <c r="D99" s="72"/>
      <c r="E99" s="73"/>
      <c r="F99" s="73"/>
      <c r="G99" s="73"/>
      <c r="H99" s="73"/>
      <c r="I99" s="341"/>
      <c r="J99" s="74"/>
      <c r="K99" s="135"/>
      <c r="L99" s="39"/>
      <c r="M99" s="94"/>
    </row>
    <row r="100" spans="1:13" s="35" customFormat="1" ht="15" customHeight="1">
      <c r="A100" s="543" t="s">
        <v>317</v>
      </c>
      <c r="B100" s="37"/>
      <c r="C100" s="37"/>
      <c r="D100" s="83"/>
      <c r="E100" s="83"/>
      <c r="F100" s="83"/>
      <c r="G100" s="564">
        <f>K94/K38</f>
        <v>0.182308</v>
      </c>
      <c r="H100" s="564"/>
      <c r="I100" s="564"/>
      <c r="J100" s="544"/>
      <c r="K100" s="136"/>
      <c r="L100" s="95"/>
      <c r="M100" s="94"/>
    </row>
    <row r="101" spans="12:13" ht="15">
      <c r="L101" s="49"/>
      <c r="M101" s="49"/>
    </row>
    <row r="102" spans="12:13" ht="15">
      <c r="L102" s="49"/>
      <c r="M102" s="49"/>
    </row>
  </sheetData>
  <sheetProtection password="D2DC" sheet="1"/>
  <mergeCells count="4">
    <mergeCell ref="G41:I41"/>
    <mergeCell ref="G42:I42"/>
    <mergeCell ref="G43:I43"/>
    <mergeCell ref="G100:I100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1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2:N92"/>
  <sheetViews>
    <sheetView showGridLines="0" zoomScale="85" zoomScaleNormal="85" zoomScaleSheetLayoutView="85" zoomScalePageLayoutView="70" workbookViewId="0" topLeftCell="A52">
      <selection activeCell="G76" sqref="G76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110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1</v>
      </c>
      <c r="J9" s="227">
        <f>G9*I9</f>
        <v>9000000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1</v>
      </c>
      <c r="J12" s="229">
        <f aca="true" t="shared" si="0" ref="J12:J19">G12*I12</f>
        <v>900000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1</v>
      </c>
      <c r="J13" s="325">
        <f t="shared" si="0"/>
        <v>1200000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1</v>
      </c>
      <c r="J14" s="325">
        <f t="shared" si="0"/>
        <v>1000000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1</v>
      </c>
      <c r="J15" s="325">
        <f t="shared" si="0"/>
        <v>1500000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1</v>
      </c>
      <c r="J16" s="325">
        <f t="shared" si="0"/>
        <v>600000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1</v>
      </c>
      <c r="J17" s="325">
        <f t="shared" si="0"/>
        <v>150000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1</v>
      </c>
      <c r="J19" s="326">
        <f t="shared" si="0"/>
        <v>300000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1</v>
      </c>
      <c r="J21" s="227">
        <f>G21*I21</f>
        <v>6000000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13"/>
      <c r="C34" s="13"/>
      <c r="D34" s="14"/>
      <c r="E34" s="1"/>
      <c r="F34" s="53"/>
      <c r="G34" s="14"/>
      <c r="H34" s="1"/>
      <c r="I34" s="19"/>
      <c r="J34" s="15"/>
      <c r="K34" s="18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SUM(J7:J35)</f>
        <v>20960000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576"/>
      <c r="J38" s="576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81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0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62">
        <f>SUM(G45:G50)</f>
        <v>27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84</v>
      </c>
      <c r="B56" s="264"/>
      <c r="C56" s="1"/>
      <c r="G56" s="327">
        <f>J37</f>
        <v>20960000</v>
      </c>
      <c r="J56" s="1"/>
      <c r="K56" s="18"/>
    </row>
    <row r="57" spans="1:11" ht="12.75" customHeight="1">
      <c r="A57" s="26" t="s">
        <v>139</v>
      </c>
      <c r="B57" s="30"/>
      <c r="C57" s="30"/>
      <c r="D57" s="1"/>
      <c r="E57" s="1"/>
      <c r="F57" s="1"/>
      <c r="G57" s="179">
        <v>9500</v>
      </c>
      <c r="J57" s="510"/>
      <c r="K57" s="18"/>
    </row>
    <row r="58" spans="1:11" ht="12.75" customHeight="1">
      <c r="A58" s="26" t="s">
        <v>140</v>
      </c>
      <c r="B58" s="30"/>
      <c r="C58" s="30"/>
      <c r="D58" s="1"/>
      <c r="E58" s="1"/>
      <c r="F58" s="1"/>
      <c r="G58" s="179">
        <v>1000</v>
      </c>
      <c r="J58" s="510"/>
      <c r="K58" s="18"/>
    </row>
    <row r="59" spans="1:11" ht="7.5" customHeight="1">
      <c r="A59" s="26"/>
      <c r="B59" s="30"/>
      <c r="C59" s="30"/>
      <c r="D59" s="1"/>
      <c r="E59" s="1"/>
      <c r="F59" s="1"/>
      <c r="G59" s="155"/>
      <c r="J59" s="510"/>
      <c r="K59" s="18"/>
    </row>
    <row r="60" spans="1:11" ht="12.75" customHeight="1">
      <c r="A60" s="30" t="s">
        <v>82</v>
      </c>
      <c r="B60" s="30"/>
      <c r="C60" s="30"/>
      <c r="D60" s="1"/>
      <c r="E60" s="1"/>
      <c r="F60" s="1"/>
      <c r="G60" s="147">
        <f>0.057*G52+0.367</f>
        <v>1.91</v>
      </c>
      <c r="H60" s="180"/>
      <c r="J60" s="510"/>
      <c r="K60" s="18"/>
    </row>
    <row r="61" spans="1:11" ht="4.5" customHeight="1">
      <c r="A61" s="30"/>
      <c r="B61" s="30"/>
      <c r="C61" s="30"/>
      <c r="D61" s="1"/>
      <c r="E61" s="1"/>
      <c r="F61" s="1"/>
      <c r="G61" s="42"/>
      <c r="H61" s="180"/>
      <c r="J61" s="510"/>
      <c r="K61" s="18"/>
    </row>
    <row r="62" spans="1:11" ht="12.75" customHeight="1">
      <c r="A62" s="30" t="s">
        <v>83</v>
      </c>
      <c r="B62" s="30"/>
      <c r="C62" s="30"/>
      <c r="D62" s="1"/>
      <c r="E62" s="1"/>
      <c r="F62" s="1"/>
      <c r="G62" s="359">
        <f>ROUND(439.8031*G56^(-0.476)*G60/100,6)</f>
        <v>0.00275</v>
      </c>
      <c r="H62" s="324" t="s">
        <v>138</v>
      </c>
      <c r="J62" s="510"/>
      <c r="K62" s="18"/>
    </row>
    <row r="63" spans="1:11" ht="12.75" customHeight="1">
      <c r="A63" s="30" t="s">
        <v>297</v>
      </c>
      <c r="B63" s="30"/>
      <c r="C63" s="30"/>
      <c r="D63" s="1"/>
      <c r="E63" s="1"/>
      <c r="F63" s="1"/>
      <c r="G63" s="525">
        <v>0</v>
      </c>
      <c r="H63" s="324"/>
      <c r="J63" s="510"/>
      <c r="K63" s="18"/>
    </row>
    <row r="64" spans="1:11" ht="7.5" customHeight="1">
      <c r="A64" s="30"/>
      <c r="B64" s="30"/>
      <c r="C64" s="30"/>
      <c r="D64" s="1"/>
      <c r="E64" s="1"/>
      <c r="F64" s="1"/>
      <c r="G64" s="265"/>
      <c r="H64" s="265"/>
      <c r="J64" s="510"/>
      <c r="K64" s="18"/>
    </row>
    <row r="65" spans="1:11" ht="27.75" customHeight="1">
      <c r="A65" s="577" t="s">
        <v>300</v>
      </c>
      <c r="B65" s="577"/>
      <c r="C65" s="577"/>
      <c r="D65" s="577"/>
      <c r="E65" s="577"/>
      <c r="F65" s="577"/>
      <c r="G65" s="577"/>
      <c r="H65" s="526">
        <f>G56*G62/G57*G58*(1+G63)</f>
        <v>6067</v>
      </c>
      <c r="I65" s="71"/>
      <c r="J65" s="1"/>
      <c r="K65" s="18"/>
    </row>
    <row r="66" spans="1:11" ht="12.75" customHeight="1">
      <c r="A66" s="43"/>
      <c r="B66" s="44"/>
      <c r="C66" s="44"/>
      <c r="D66" s="269"/>
      <c r="E66" s="269"/>
      <c r="F66" s="269"/>
      <c r="G66" s="270"/>
      <c r="H66" s="270"/>
      <c r="I66" s="63"/>
      <c r="J66" s="45"/>
      <c r="K66" s="18"/>
    </row>
    <row r="67" spans="1:11" ht="12.75" customHeight="1">
      <c r="A67" s="43"/>
      <c r="B67" s="44"/>
      <c r="C67" s="44"/>
      <c r="D67" s="269"/>
      <c r="E67" s="560" t="s">
        <v>329</v>
      </c>
      <c r="F67" s="553"/>
      <c r="G67" s="558" t="s">
        <v>5</v>
      </c>
      <c r="H67" s="270"/>
      <c r="I67" s="63"/>
      <c r="J67" s="45"/>
      <c r="K67" s="18"/>
    </row>
    <row r="68" spans="1:10" ht="12.75" customHeight="1">
      <c r="A68" s="271" t="s">
        <v>128</v>
      </c>
      <c r="B68" s="271"/>
      <c r="C68" s="272"/>
      <c r="D68" s="1"/>
      <c r="E68" s="554">
        <v>0.03</v>
      </c>
      <c r="F68" s="274"/>
      <c r="G68" s="343">
        <v>0.03</v>
      </c>
      <c r="H68" s="370">
        <f>$H$65*G68</f>
        <v>182</v>
      </c>
      <c r="I68" s="59"/>
      <c r="J68" s="510"/>
    </row>
    <row r="69" spans="1:10" ht="12.75" customHeight="1">
      <c r="A69" s="271" t="s">
        <v>36</v>
      </c>
      <c r="B69" s="271"/>
      <c r="C69" s="272"/>
      <c r="D69" s="1"/>
      <c r="E69" s="554">
        <v>0.17</v>
      </c>
      <c r="F69" s="274"/>
      <c r="G69" s="344">
        <v>0.17</v>
      </c>
      <c r="H69" s="370">
        <f aca="true" t="shared" si="1" ref="H69:H77">$H$65*G69</f>
        <v>1031</v>
      </c>
      <c r="I69" s="59"/>
      <c r="J69" s="238"/>
    </row>
    <row r="70" spans="1:10" ht="12.75" customHeight="1">
      <c r="A70" s="271" t="s">
        <v>37</v>
      </c>
      <c r="B70" s="271"/>
      <c r="C70" s="272"/>
      <c r="D70" s="1"/>
      <c r="E70" s="554">
        <v>0.35</v>
      </c>
      <c r="F70" s="274"/>
      <c r="G70" s="344">
        <v>0.35</v>
      </c>
      <c r="H70" s="370">
        <f t="shared" si="1"/>
        <v>2123</v>
      </c>
      <c r="I70" s="59"/>
      <c r="J70" s="238"/>
    </row>
    <row r="71" spans="1:10" ht="12.75" customHeight="1">
      <c r="A71" s="271" t="s">
        <v>38</v>
      </c>
      <c r="B71" s="271"/>
      <c r="C71" s="272"/>
      <c r="D71" s="1"/>
      <c r="E71" s="554">
        <v>0.05</v>
      </c>
      <c r="F71" s="274"/>
      <c r="G71" s="344">
        <v>0.05</v>
      </c>
      <c r="H71" s="370">
        <f t="shared" si="1"/>
        <v>303</v>
      </c>
      <c r="I71" s="59"/>
      <c r="J71" s="238"/>
    </row>
    <row r="72" spans="1:10" ht="12.75" customHeight="1">
      <c r="A72" s="271" t="s">
        <v>75</v>
      </c>
      <c r="B72" s="271"/>
      <c r="C72" s="272"/>
      <c r="D72" s="1"/>
      <c r="E72" s="554">
        <v>0.27</v>
      </c>
      <c r="F72" s="274"/>
      <c r="G72" s="344">
        <v>0.27</v>
      </c>
      <c r="H72" s="370">
        <f t="shared" si="1"/>
        <v>1638</v>
      </c>
      <c r="I72" s="59"/>
      <c r="J72" s="238"/>
    </row>
    <row r="73" spans="1:10" ht="12.75" customHeight="1">
      <c r="A73" s="271" t="s">
        <v>40</v>
      </c>
      <c r="B73" s="271"/>
      <c r="C73" s="272"/>
      <c r="D73" s="1"/>
      <c r="E73" s="554">
        <v>0.02</v>
      </c>
      <c r="F73" s="274"/>
      <c r="G73" s="344">
        <v>0.02</v>
      </c>
      <c r="H73" s="370">
        <f t="shared" si="1"/>
        <v>121</v>
      </c>
      <c r="I73" s="59"/>
      <c r="J73" s="238"/>
    </row>
    <row r="74" spans="1:10" ht="12.75" customHeight="1">
      <c r="A74" s="271" t="s">
        <v>65</v>
      </c>
      <c r="B74" s="271"/>
      <c r="C74" s="272"/>
      <c r="D74" s="1"/>
      <c r="E74" s="554">
        <v>0.02</v>
      </c>
      <c r="F74" s="274"/>
      <c r="G74" s="344">
        <v>0.02</v>
      </c>
      <c r="H74" s="370">
        <f t="shared" si="1"/>
        <v>121</v>
      </c>
      <c r="I74" s="59"/>
      <c r="J74" s="238"/>
    </row>
    <row r="75" spans="1:10" ht="12.75" customHeight="1">
      <c r="A75" s="271" t="s">
        <v>55</v>
      </c>
      <c r="B75" s="271"/>
      <c r="C75" s="272"/>
      <c r="D75" s="1"/>
      <c r="E75" s="554">
        <v>0.09</v>
      </c>
      <c r="F75" s="274"/>
      <c r="G75" s="344">
        <v>0</v>
      </c>
      <c r="H75" s="373">
        <f t="shared" si="1"/>
        <v>0</v>
      </c>
      <c r="I75" s="578" t="s">
        <v>301</v>
      </c>
      <c r="J75" s="578"/>
    </row>
    <row r="76" spans="1:10" ht="12.75" customHeight="1">
      <c r="A76" s="251" t="s">
        <v>76</v>
      </c>
      <c r="B76" s="251"/>
      <c r="C76" s="272"/>
      <c r="D76" s="1"/>
      <c r="E76" s="554">
        <v>0</v>
      </c>
      <c r="F76" s="274"/>
      <c r="G76" s="344">
        <v>0</v>
      </c>
      <c r="H76" s="370">
        <f t="shared" si="1"/>
        <v>0</v>
      </c>
      <c r="I76" s="578"/>
      <c r="J76" s="578"/>
    </row>
    <row r="77" spans="1:10" ht="12.75" customHeight="1">
      <c r="A77" s="276" t="s">
        <v>56</v>
      </c>
      <c r="B77" s="276"/>
      <c r="C77" s="277"/>
      <c r="D77" s="57"/>
      <c r="E77" s="556">
        <v>0</v>
      </c>
      <c r="F77" s="279"/>
      <c r="G77" s="345">
        <v>0</v>
      </c>
      <c r="H77" s="527">
        <f t="shared" si="1"/>
        <v>0</v>
      </c>
      <c r="I77" s="528"/>
      <c r="J77" s="219"/>
    </row>
    <row r="78" spans="1:10" ht="12.75" customHeight="1">
      <c r="A78" s="280" t="s">
        <v>45</v>
      </c>
      <c r="B78" s="251"/>
      <c r="C78" s="30"/>
      <c r="D78" s="1"/>
      <c r="E78" s="281"/>
      <c r="F78" s="281"/>
      <c r="G78" s="346">
        <f>SUM(G68:G77)</f>
        <v>0.91</v>
      </c>
      <c r="H78" s="529">
        <f>SUM(H68:H77)</f>
        <v>5519</v>
      </c>
      <c r="J78" s="146">
        <f>H78-H75</f>
        <v>5519</v>
      </c>
    </row>
    <row r="79" spans="7:10" ht="12.75" customHeight="1">
      <c r="G79" s="163"/>
      <c r="J79" s="238"/>
    </row>
    <row r="80" spans="1:14" ht="12.75" customHeight="1">
      <c r="A80" s="54" t="s">
        <v>171</v>
      </c>
      <c r="G80" s="355">
        <v>30</v>
      </c>
      <c r="H80" s="356">
        <v>95</v>
      </c>
      <c r="J80" s="146">
        <f>G80*H80</f>
        <v>2850</v>
      </c>
      <c r="L80" s="49"/>
      <c r="M80" s="49"/>
      <c r="N80" s="49"/>
    </row>
    <row r="81" spans="7:10" ht="12.75" customHeight="1">
      <c r="G81" s="163"/>
      <c r="J81" s="238"/>
    </row>
    <row r="82" spans="1:11" s="35" customFormat="1" ht="12.75">
      <c r="A82" s="141" t="s">
        <v>168</v>
      </c>
      <c r="B82" s="142"/>
      <c r="C82" s="143"/>
      <c r="D82" s="143"/>
      <c r="E82" s="144"/>
      <c r="F82" s="145"/>
      <c r="G82" s="164"/>
      <c r="H82" s="144"/>
      <c r="I82" s="144"/>
      <c r="J82" s="146">
        <f>J78+J80</f>
        <v>8369</v>
      </c>
      <c r="K82" s="39"/>
    </row>
    <row r="83" spans="2:11" s="35" customFormat="1" ht="4.5" customHeight="1">
      <c r="B83" s="36"/>
      <c r="C83" s="37"/>
      <c r="D83" s="37"/>
      <c r="E83" s="72"/>
      <c r="F83" s="73"/>
      <c r="G83" s="74"/>
      <c r="H83" s="102"/>
      <c r="J83" s="135"/>
      <c r="K83" s="39"/>
    </row>
    <row r="84" spans="1:11" s="35" customFormat="1" ht="12.75">
      <c r="A84" s="75" t="s">
        <v>13</v>
      </c>
      <c r="B84" s="36"/>
      <c r="C84" s="37"/>
      <c r="D84" s="37"/>
      <c r="E84" s="83"/>
      <c r="F84" s="83"/>
      <c r="G84" s="338">
        <v>0.04</v>
      </c>
      <c r="H84" s="103"/>
      <c r="I84" s="40"/>
      <c r="J84" s="136">
        <f>ROUND(J82*G84,2)</f>
        <v>335</v>
      </c>
      <c r="K84" s="39"/>
    </row>
    <row r="85" spans="1:11" s="35" customFormat="1" ht="3" customHeight="1">
      <c r="A85" s="76"/>
      <c r="B85" s="77"/>
      <c r="C85" s="78"/>
      <c r="D85" s="78"/>
      <c r="E85" s="85"/>
      <c r="F85" s="85"/>
      <c r="G85" s="339"/>
      <c r="H85" s="104"/>
      <c r="I85" s="76"/>
      <c r="J85" s="137"/>
      <c r="K85" s="39"/>
    </row>
    <row r="86" spans="2:11" s="35" customFormat="1" ht="3" customHeight="1">
      <c r="B86" s="36"/>
      <c r="C86" s="37"/>
      <c r="D86" s="37"/>
      <c r="E86" s="88"/>
      <c r="F86" s="88"/>
      <c r="G86" s="340"/>
      <c r="H86" s="105"/>
      <c r="I86" s="89"/>
      <c r="J86" s="135"/>
      <c r="K86" s="39"/>
    </row>
    <row r="87" spans="1:11" s="35" customFormat="1" ht="12.75">
      <c r="A87" s="80" t="s">
        <v>169</v>
      </c>
      <c r="B87" s="81"/>
      <c r="C87" s="82"/>
      <c r="D87" s="82"/>
      <c r="E87" s="38"/>
      <c r="F87" s="38"/>
      <c r="G87" s="337"/>
      <c r="H87" s="103"/>
      <c r="I87" s="40"/>
      <c r="J87" s="138">
        <f>J82+J84</f>
        <v>8704</v>
      </c>
      <c r="K87" s="39"/>
    </row>
    <row r="88" spans="1:11" s="35" customFormat="1" ht="12.75">
      <c r="A88" s="35" t="s">
        <v>14</v>
      </c>
      <c r="B88" s="36"/>
      <c r="D88" s="37"/>
      <c r="E88" s="79"/>
      <c r="F88" s="79"/>
      <c r="G88" s="41">
        <v>0.2</v>
      </c>
      <c r="H88" s="41"/>
      <c r="J88" s="139">
        <f>ROUND(J87*G88,2)</f>
        <v>1741</v>
      </c>
      <c r="K88" s="39"/>
    </row>
    <row r="89" spans="1:11" s="35" customFormat="1" ht="3" customHeight="1">
      <c r="A89" s="40"/>
      <c r="B89" s="308"/>
      <c r="C89" s="87"/>
      <c r="D89" s="87"/>
      <c r="E89" s="79"/>
      <c r="F89" s="79"/>
      <c r="G89" s="74"/>
      <c r="H89" s="102"/>
      <c r="J89" s="140"/>
      <c r="K89" s="39"/>
    </row>
    <row r="90" spans="1:11" s="40" customFormat="1" ht="12.75">
      <c r="A90" s="296" t="s">
        <v>170</v>
      </c>
      <c r="B90" s="309"/>
      <c r="C90" s="297"/>
      <c r="D90" s="297"/>
      <c r="E90" s="298"/>
      <c r="F90" s="299"/>
      <c r="G90" s="300"/>
      <c r="H90" s="300"/>
      <c r="I90" s="298"/>
      <c r="J90" s="301">
        <f>SUM(J86:J88)</f>
        <v>10445</v>
      </c>
      <c r="K90" s="39"/>
    </row>
    <row r="91" ht="4.5" customHeight="1"/>
    <row r="92" spans="1:7" ht="12.75">
      <c r="A92" s="311" t="s">
        <v>136</v>
      </c>
      <c r="G92" s="520">
        <f>J87/G33</f>
        <v>0.000292</v>
      </c>
    </row>
  </sheetData>
  <sheetProtection password="D2DC" sheet="1"/>
  <mergeCells count="22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I38:J38"/>
    <mergeCell ref="A65:G65"/>
    <mergeCell ref="I75:J76"/>
    <mergeCell ref="A21:B21"/>
    <mergeCell ref="A23:B23"/>
    <mergeCell ref="A25:B25"/>
    <mergeCell ref="A27:B27"/>
    <mergeCell ref="A29:B29"/>
    <mergeCell ref="A31:B31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2:P93"/>
  <sheetViews>
    <sheetView showGridLines="0" zoomScale="85" zoomScaleNormal="85" zoomScaleSheetLayoutView="85" zoomScalePageLayoutView="70" workbookViewId="0" topLeftCell="A37">
      <selection activeCell="L70" sqref="L70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111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1</v>
      </c>
      <c r="J12" s="229">
        <f aca="true" t="shared" si="0" ref="J12:J19">G12*I12</f>
        <v>900000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1</v>
      </c>
      <c r="J13" s="325">
        <f t="shared" si="0"/>
        <v>1200000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1</v>
      </c>
      <c r="J14" s="325">
        <f t="shared" si="0"/>
        <v>1000000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0</v>
      </c>
      <c r="J15" s="325">
        <f t="shared" si="0"/>
        <v>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0</v>
      </c>
      <c r="J16" s="325">
        <f t="shared" si="0"/>
        <v>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0</v>
      </c>
      <c r="J17" s="325">
        <f t="shared" si="0"/>
        <v>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0</v>
      </c>
      <c r="J19" s="326">
        <f t="shared" si="0"/>
        <v>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0</v>
      </c>
      <c r="J21" s="227">
        <f>G21*I21</f>
        <v>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62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ROUND(SUM(J7:J35),2)</f>
        <v>3410000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302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3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93">
        <f>SUM(G45:G50)</f>
        <v>30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3410000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85</v>
      </c>
      <c r="B58" s="30"/>
      <c r="C58" s="30"/>
      <c r="D58" s="1"/>
      <c r="E58" s="1"/>
      <c r="F58" s="1"/>
      <c r="G58" s="147">
        <f>0.03*G52+0.73</f>
        <v>1.63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87</v>
      </c>
      <c r="B60" s="30"/>
      <c r="C60" s="30"/>
      <c r="D60" s="1"/>
      <c r="E60" s="1"/>
      <c r="F60" s="1"/>
      <c r="G60" s="530">
        <f>ROUND(IF(G56&lt;2000000,202*G56^(-0.2248)*G58/100,(37.8*G56^(-0.109)*G58/100)),6)</f>
        <v>0.119566</v>
      </c>
      <c r="H60" s="1"/>
      <c r="J60" s="510"/>
      <c r="K60" s="18"/>
    </row>
    <row r="61" spans="1:11" ht="18" customHeight="1">
      <c r="A61" s="30" t="s">
        <v>101</v>
      </c>
      <c r="B61" s="30"/>
      <c r="C61" s="30"/>
      <c r="D61" s="1"/>
      <c r="E61" s="1"/>
      <c r="F61" s="1"/>
      <c r="G61" s="359">
        <f>202*G56^(-0.2248)*G58/100</f>
        <v>0.111938</v>
      </c>
      <c r="H61" s="352">
        <f>IF(G56&lt;2000000,"(PL + ÖBA)","")</f>
      </c>
      <c r="J61" s="510"/>
      <c r="K61" s="18"/>
    </row>
    <row r="62" spans="1:11" ht="18" customHeight="1">
      <c r="A62" s="30" t="s">
        <v>102</v>
      </c>
      <c r="B62" s="30"/>
      <c r="C62" s="30"/>
      <c r="D62" s="30"/>
      <c r="E62" s="1"/>
      <c r="F62" s="1"/>
      <c r="G62" s="359">
        <f>37.8*G56^(-0.109)*G58/100</f>
        <v>0.119566</v>
      </c>
      <c r="H62" s="531" t="str">
        <f>IF(G56&gt;1999999.99,"(PL + ÖBA)","")</f>
        <v>(PL + ÖBA)</v>
      </c>
      <c r="J62" s="510"/>
      <c r="K62" s="18"/>
    </row>
    <row r="63" spans="1:16" ht="3" customHeight="1">
      <c r="A63" s="30"/>
      <c r="B63" s="30"/>
      <c r="C63" s="30"/>
      <c r="D63" s="1"/>
      <c r="E63" s="1"/>
      <c r="F63" s="1"/>
      <c r="G63" s="265"/>
      <c r="H63" s="265"/>
      <c r="I63" s="265"/>
      <c r="J63" s="265"/>
      <c r="K63" s="265"/>
      <c r="L63" s="9"/>
      <c r="M63" s="510"/>
      <c r="N63" s="18"/>
      <c r="O63"/>
      <c r="P63"/>
    </row>
    <row r="64" spans="1:16" ht="15.75" customHeight="1">
      <c r="A64" s="30" t="s">
        <v>303</v>
      </c>
      <c r="B64" s="30"/>
      <c r="C64" s="30"/>
      <c r="D64" s="30"/>
      <c r="E64" s="1"/>
      <c r="F64" s="1"/>
      <c r="G64" s="522">
        <v>0.2</v>
      </c>
      <c r="H64" s="291"/>
      <c r="I64" s="353"/>
      <c r="J64" s="46"/>
      <c r="K64" s="46"/>
      <c r="L64" s="9"/>
      <c r="M64" s="510"/>
      <c r="N64" s="18"/>
      <c r="O64"/>
      <c r="P64"/>
    </row>
    <row r="65" spans="1:11" ht="7.5" customHeight="1">
      <c r="A65" s="30"/>
      <c r="B65" s="30"/>
      <c r="C65" s="30"/>
      <c r="D65" s="1"/>
      <c r="E65" s="1"/>
      <c r="F65" s="1"/>
      <c r="G65" s="265"/>
      <c r="H65" s="265"/>
      <c r="J65" s="510"/>
      <c r="K65" s="18"/>
    </row>
    <row r="66" spans="1:11" ht="15" customHeight="1">
      <c r="A66" s="31" t="s">
        <v>328</v>
      </c>
      <c r="B66" s="28"/>
      <c r="C66" s="28"/>
      <c r="D66" s="266"/>
      <c r="E66" s="267"/>
      <c r="F66" s="267"/>
      <c r="G66" s="268"/>
      <c r="H66" s="523">
        <f>G56*G60*(1+G64)</f>
        <v>489264</v>
      </c>
      <c r="I66" s="71"/>
      <c r="J66" s="1"/>
      <c r="K66" s="18"/>
    </row>
    <row r="67" spans="1:11" ht="12.75" customHeight="1">
      <c r="A67" s="43"/>
      <c r="B67" s="44"/>
      <c r="C67" s="44"/>
      <c r="D67" s="269"/>
      <c r="E67" s="269"/>
      <c r="F67" s="269"/>
      <c r="G67" s="270"/>
      <c r="H67" s="270"/>
      <c r="I67" s="63"/>
      <c r="J67" s="45"/>
      <c r="K67" s="18"/>
    </row>
    <row r="68" spans="1:11" ht="12.75" customHeight="1">
      <c r="A68" s="43"/>
      <c r="B68" s="44"/>
      <c r="C68" s="44"/>
      <c r="D68" s="269"/>
      <c r="E68" s="559" t="s">
        <v>329</v>
      </c>
      <c r="F68" s="553"/>
      <c r="G68" s="558" t="s">
        <v>5</v>
      </c>
      <c r="H68" s="270"/>
      <c r="I68" s="63"/>
      <c r="J68" s="45"/>
      <c r="K68" s="18"/>
    </row>
    <row r="69" spans="1:10" ht="12.75" customHeight="1">
      <c r="A69" s="271" t="s">
        <v>54</v>
      </c>
      <c r="B69" s="271"/>
      <c r="C69" s="272"/>
      <c r="D69" s="1"/>
      <c r="E69" s="554">
        <v>0.02</v>
      </c>
      <c r="F69" s="274"/>
      <c r="G69" s="343">
        <v>0.02</v>
      </c>
      <c r="H69" s="285">
        <f>$H$66*G69</f>
        <v>9785</v>
      </c>
      <c r="I69" s="59"/>
      <c r="J69" s="238"/>
    </row>
    <row r="70" spans="1:10" ht="12.75" customHeight="1">
      <c r="A70" s="271" t="s">
        <v>36</v>
      </c>
      <c r="B70" s="271"/>
      <c r="C70" s="272"/>
      <c r="D70" s="1"/>
      <c r="E70" s="554">
        <v>0.08</v>
      </c>
      <c r="F70" s="274"/>
      <c r="G70" s="344">
        <v>0.08</v>
      </c>
      <c r="H70" s="285">
        <f aca="true" t="shared" si="1" ref="H70:H78">$H$66*G70</f>
        <v>39141</v>
      </c>
      <c r="I70" s="59"/>
      <c r="J70" s="238"/>
    </row>
    <row r="71" spans="1:10" ht="12.75" customHeight="1">
      <c r="A71" s="271" t="s">
        <v>37</v>
      </c>
      <c r="B71" s="271"/>
      <c r="C71" s="272"/>
      <c r="D71" s="1"/>
      <c r="E71" s="554">
        <v>0.12</v>
      </c>
      <c r="F71" s="274"/>
      <c r="G71" s="344">
        <v>0.12</v>
      </c>
      <c r="H71" s="285">
        <f t="shared" si="1"/>
        <v>58712</v>
      </c>
      <c r="I71" s="59"/>
      <c r="J71" s="238"/>
    </row>
    <row r="72" spans="1:12" ht="12.75" customHeight="1">
      <c r="A72" s="271" t="s">
        <v>38</v>
      </c>
      <c r="B72" s="271"/>
      <c r="C72" s="272"/>
      <c r="D72" s="1"/>
      <c r="E72" s="554">
        <v>0.05</v>
      </c>
      <c r="F72" s="274"/>
      <c r="G72" s="344">
        <v>0.05</v>
      </c>
      <c r="H72" s="285">
        <f t="shared" si="1"/>
        <v>24463</v>
      </c>
      <c r="I72" s="59"/>
      <c r="J72" s="238"/>
      <c r="L72" s="1" t="s">
        <v>103</v>
      </c>
    </row>
    <row r="73" spans="1:10" ht="12.75" customHeight="1">
      <c r="A73" s="271" t="s">
        <v>39</v>
      </c>
      <c r="B73" s="271"/>
      <c r="C73" s="272"/>
      <c r="D73" s="1"/>
      <c r="E73" s="554">
        <v>0.22</v>
      </c>
      <c r="F73" s="274"/>
      <c r="G73" s="344">
        <v>0.22</v>
      </c>
      <c r="H73" s="285">
        <f t="shared" si="1"/>
        <v>107638</v>
      </c>
      <c r="I73" s="59"/>
      <c r="J73" s="238"/>
    </row>
    <row r="74" spans="1:10" ht="12.75" customHeight="1">
      <c r="A74" s="271" t="s">
        <v>40</v>
      </c>
      <c r="B74" s="271"/>
      <c r="C74" s="272"/>
      <c r="D74" s="1"/>
      <c r="E74" s="554">
        <v>0.07</v>
      </c>
      <c r="F74" s="274"/>
      <c r="G74" s="344">
        <v>0.07</v>
      </c>
      <c r="H74" s="285">
        <f t="shared" si="1"/>
        <v>34248</v>
      </c>
      <c r="I74" s="59"/>
      <c r="J74" s="238"/>
    </row>
    <row r="75" spans="1:10" ht="12.75" customHeight="1">
      <c r="A75" s="271" t="s">
        <v>65</v>
      </c>
      <c r="B75" s="271"/>
      <c r="C75" s="272"/>
      <c r="D75" s="1"/>
      <c r="E75" s="554">
        <v>0.03</v>
      </c>
      <c r="F75" s="274"/>
      <c r="G75" s="344">
        <v>0.03</v>
      </c>
      <c r="H75" s="285">
        <f t="shared" si="1"/>
        <v>14678</v>
      </c>
      <c r="I75" s="59"/>
      <c r="J75" s="238"/>
    </row>
    <row r="76" spans="1:10" ht="12.75" customHeight="1">
      <c r="A76" s="271" t="s">
        <v>55</v>
      </c>
      <c r="B76" s="271"/>
      <c r="C76" s="272"/>
      <c r="D76" s="1"/>
      <c r="E76" s="554">
        <v>0.04</v>
      </c>
      <c r="F76" s="274"/>
      <c r="G76" s="344">
        <v>0.04</v>
      </c>
      <c r="H76" s="285">
        <f t="shared" si="1"/>
        <v>19571</v>
      </c>
      <c r="I76" s="59"/>
      <c r="J76" s="238"/>
    </row>
    <row r="77" spans="1:10" ht="12.75" customHeight="1">
      <c r="A77" s="251" t="s">
        <v>86</v>
      </c>
      <c r="B77" s="251"/>
      <c r="C77" s="272"/>
      <c r="D77" s="1"/>
      <c r="E77" s="554">
        <v>0.35</v>
      </c>
      <c r="F77" s="274"/>
      <c r="G77" s="344">
        <v>0.35</v>
      </c>
      <c r="H77" s="285">
        <f t="shared" si="1"/>
        <v>171242</v>
      </c>
      <c r="I77" s="59"/>
      <c r="J77" s="238"/>
    </row>
    <row r="78" spans="1:10" ht="12.75" customHeight="1">
      <c r="A78" s="276" t="s">
        <v>56</v>
      </c>
      <c r="B78" s="276"/>
      <c r="C78" s="277"/>
      <c r="D78" s="57"/>
      <c r="E78" s="556">
        <v>0.02</v>
      </c>
      <c r="F78" s="279"/>
      <c r="G78" s="345">
        <v>0.02</v>
      </c>
      <c r="H78" s="286">
        <f t="shared" si="1"/>
        <v>9785</v>
      </c>
      <c r="I78" s="63"/>
      <c r="J78" s="238"/>
    </row>
    <row r="79" spans="1:10" ht="12.75" customHeight="1">
      <c r="A79" s="280" t="s">
        <v>45</v>
      </c>
      <c r="B79" s="251"/>
      <c r="C79" s="30"/>
      <c r="D79" s="1"/>
      <c r="E79" s="281"/>
      <c r="F79" s="281"/>
      <c r="G79" s="346">
        <f>SUM(G69:G78)</f>
        <v>1</v>
      </c>
      <c r="H79" s="287">
        <f>SUM(H69:H78)</f>
        <v>489263</v>
      </c>
      <c r="J79" s="146">
        <f>H79</f>
        <v>489263</v>
      </c>
    </row>
    <row r="80" spans="7:10" ht="12.75" customHeight="1">
      <c r="G80" s="163"/>
      <c r="J80" s="238"/>
    </row>
    <row r="81" spans="1:14" ht="12.75" customHeight="1">
      <c r="A81" s="54" t="s">
        <v>171</v>
      </c>
      <c r="G81" s="355">
        <v>0</v>
      </c>
      <c r="H81" s="356">
        <v>0</v>
      </c>
      <c r="J81" s="146">
        <f>G81*H81</f>
        <v>0</v>
      </c>
      <c r="L81" s="49"/>
      <c r="M81" s="49"/>
      <c r="N81" s="49"/>
    </row>
    <row r="82" spans="7:10" ht="12.75" customHeight="1">
      <c r="G82" s="163"/>
      <c r="J82" s="238"/>
    </row>
    <row r="83" spans="1:11" s="35" customFormat="1" ht="12.75">
      <c r="A83" s="141" t="s">
        <v>304</v>
      </c>
      <c r="B83" s="142"/>
      <c r="C83" s="143"/>
      <c r="D83" s="143"/>
      <c r="E83" s="144"/>
      <c r="F83" s="145"/>
      <c r="G83" s="164"/>
      <c r="H83" s="144"/>
      <c r="I83" s="144"/>
      <c r="J83" s="146">
        <f>J79+J81</f>
        <v>489263</v>
      </c>
      <c r="K83" s="39"/>
    </row>
    <row r="84" spans="2:11" s="35" customFormat="1" ht="4.5" customHeight="1">
      <c r="B84" s="36"/>
      <c r="C84" s="37"/>
      <c r="D84" s="37"/>
      <c r="E84" s="72"/>
      <c r="F84" s="73"/>
      <c r="G84" s="74"/>
      <c r="H84" s="102"/>
      <c r="J84" s="135"/>
      <c r="K84" s="39"/>
    </row>
    <row r="85" spans="1:11" s="35" customFormat="1" ht="12.75">
      <c r="A85" s="75" t="s">
        <v>13</v>
      </c>
      <c r="B85" s="36"/>
      <c r="C85" s="37"/>
      <c r="D85" s="37"/>
      <c r="E85" s="83"/>
      <c r="F85" s="83"/>
      <c r="G85" s="338">
        <v>0.04</v>
      </c>
      <c r="H85" s="103"/>
      <c r="I85" s="40"/>
      <c r="J85" s="136">
        <f>ROUND(J83*G85,2)</f>
        <v>19571</v>
      </c>
      <c r="K85" s="39"/>
    </row>
    <row r="86" spans="1:11" s="35" customFormat="1" ht="3" customHeight="1">
      <c r="A86" s="76"/>
      <c r="B86" s="77"/>
      <c r="C86" s="78"/>
      <c r="D86" s="78"/>
      <c r="E86" s="85"/>
      <c r="F86" s="85"/>
      <c r="G86" s="339"/>
      <c r="H86" s="104"/>
      <c r="I86" s="76"/>
      <c r="J86" s="137"/>
      <c r="K86" s="39"/>
    </row>
    <row r="87" spans="2:11" s="35" customFormat="1" ht="3" customHeight="1">
      <c r="B87" s="36"/>
      <c r="C87" s="37"/>
      <c r="D87" s="37"/>
      <c r="E87" s="88"/>
      <c r="F87" s="88"/>
      <c r="G87" s="340"/>
      <c r="H87" s="105"/>
      <c r="I87" s="89"/>
      <c r="J87" s="135"/>
      <c r="K87" s="39"/>
    </row>
    <row r="88" spans="1:11" s="35" customFormat="1" ht="12.75">
      <c r="A88" s="80" t="s">
        <v>305</v>
      </c>
      <c r="B88" s="81"/>
      <c r="C88" s="82"/>
      <c r="D88" s="82"/>
      <c r="E88" s="38"/>
      <c r="F88" s="38"/>
      <c r="G88" s="337"/>
      <c r="H88" s="103"/>
      <c r="I88" s="40"/>
      <c r="J88" s="138">
        <f>J83+J85</f>
        <v>508834</v>
      </c>
      <c r="K88" s="39"/>
    </row>
    <row r="89" spans="1:11" s="35" customFormat="1" ht="12.75">
      <c r="A89" s="35" t="s">
        <v>14</v>
      </c>
      <c r="B89" s="36"/>
      <c r="D89" s="37"/>
      <c r="E89" s="79"/>
      <c r="F89" s="79"/>
      <c r="G89" s="41">
        <v>0.2</v>
      </c>
      <c r="H89" s="41"/>
      <c r="J89" s="139">
        <f>ROUND(J88*G89,2)</f>
        <v>101767</v>
      </c>
      <c r="K89" s="39"/>
    </row>
    <row r="90" spans="1:11" s="35" customFormat="1" ht="3" customHeight="1">
      <c r="A90" s="40"/>
      <c r="B90" s="308"/>
      <c r="C90" s="87"/>
      <c r="D90" s="87"/>
      <c r="E90" s="79"/>
      <c r="F90" s="79"/>
      <c r="G90" s="74"/>
      <c r="H90" s="102"/>
      <c r="J90" s="140"/>
      <c r="K90" s="39"/>
    </row>
    <row r="91" spans="1:11" s="40" customFormat="1" ht="12.75">
      <c r="A91" s="296" t="s">
        <v>306</v>
      </c>
      <c r="B91" s="309"/>
      <c r="C91" s="297"/>
      <c r="D91" s="297"/>
      <c r="E91" s="298"/>
      <c r="F91" s="299"/>
      <c r="G91" s="300"/>
      <c r="H91" s="300"/>
      <c r="I91" s="298"/>
      <c r="J91" s="301">
        <f>SUM(J87:J89)</f>
        <v>610601</v>
      </c>
      <c r="K91" s="39"/>
    </row>
    <row r="92" ht="4.5" customHeight="1"/>
    <row r="93" spans="1:7" ht="12.75">
      <c r="A93" s="311" t="s">
        <v>136</v>
      </c>
      <c r="G93" s="520">
        <f>J88/G33</f>
        <v>0.017075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conditionalFormatting sqref="G61">
    <cfRule type="expression" priority="2" dxfId="12" stopIfTrue="1">
      <formula>$G$56&gt;1999999.99</formula>
    </cfRule>
  </conditionalFormatting>
  <conditionalFormatting sqref="G62">
    <cfRule type="expression" priority="1" dxfId="12" stopIfTrue="1">
      <formula>$G$56&lt;2000000</formula>
    </cfRule>
  </conditionalFormatting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2:P93"/>
  <sheetViews>
    <sheetView showGridLines="0" zoomScale="85" zoomScaleNormal="85" zoomScaleSheetLayoutView="85" zoomScalePageLayoutView="70" workbookViewId="0" topLeftCell="A49">
      <selection activeCell="N89" sqref="N89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111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0</v>
      </c>
      <c r="J12" s="229">
        <f aca="true" t="shared" si="0" ref="J12:J19">G12*I12</f>
        <v>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0</v>
      </c>
      <c r="J13" s="325">
        <f t="shared" si="0"/>
        <v>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0</v>
      </c>
      <c r="J14" s="325">
        <f t="shared" si="0"/>
        <v>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1</v>
      </c>
      <c r="J15" s="325">
        <f t="shared" si="0"/>
        <v>1500000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1</v>
      </c>
      <c r="J16" s="325">
        <f t="shared" si="0"/>
        <v>600000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0</v>
      </c>
      <c r="J17" s="325">
        <f t="shared" si="0"/>
        <v>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0</v>
      </c>
      <c r="J19" s="326">
        <f t="shared" si="0"/>
        <v>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0</v>
      </c>
      <c r="J21" s="227">
        <f>G21*I21</f>
        <v>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62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ROUND(SUM(J7:J35),2)</f>
        <v>2410000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302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3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93">
        <f>SUM(G45:G50)</f>
        <v>30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2410000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85</v>
      </c>
      <c r="B58" s="30"/>
      <c r="C58" s="30"/>
      <c r="D58" s="1"/>
      <c r="E58" s="1"/>
      <c r="F58" s="1"/>
      <c r="G58" s="147">
        <f>0.03*G52+0.73</f>
        <v>1.63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87</v>
      </c>
      <c r="B60" s="30"/>
      <c r="C60" s="30"/>
      <c r="D60" s="1"/>
      <c r="E60" s="1"/>
      <c r="F60" s="1"/>
      <c r="G60" s="530">
        <f>ROUND(IF(G56&lt;2000000,202*G56^(-0.2248)*G58/100,(37.8*G56^(-0.109)*G58/100)),6)</f>
        <v>0.124177</v>
      </c>
      <c r="H60" s="1"/>
      <c r="J60" s="510"/>
      <c r="K60" s="18"/>
    </row>
    <row r="61" spans="1:11" ht="18" customHeight="1">
      <c r="A61" s="30" t="s">
        <v>101</v>
      </c>
      <c r="B61" s="30"/>
      <c r="C61" s="30"/>
      <c r="D61" s="1"/>
      <c r="E61" s="1"/>
      <c r="F61" s="1"/>
      <c r="G61" s="359">
        <f>202*G56^(-0.2248)*G58/100</f>
        <v>0.121021</v>
      </c>
      <c r="H61" s="352">
        <f>IF(G56&lt;2000000,"(PL + ÖBA)","")</f>
      </c>
      <c r="J61" s="510"/>
      <c r="K61" s="18"/>
    </row>
    <row r="62" spans="1:11" ht="18" customHeight="1">
      <c r="A62" s="30" t="s">
        <v>102</v>
      </c>
      <c r="B62" s="30"/>
      <c r="C62" s="30"/>
      <c r="D62" s="30"/>
      <c r="E62" s="1"/>
      <c r="F62" s="1"/>
      <c r="G62" s="359">
        <f>37.8*G56^(-0.109)*G58/100</f>
        <v>0.124177</v>
      </c>
      <c r="H62" s="531" t="str">
        <f>IF(G56&gt;1999999.99,"(PL + ÖBA)","")</f>
        <v>(PL + ÖBA)</v>
      </c>
      <c r="J62" s="510"/>
      <c r="K62" s="18"/>
    </row>
    <row r="63" spans="1:16" ht="3" customHeight="1">
      <c r="A63" s="30"/>
      <c r="B63" s="30"/>
      <c r="C63" s="30"/>
      <c r="D63" s="1"/>
      <c r="E63" s="1"/>
      <c r="F63" s="1"/>
      <c r="G63" s="265"/>
      <c r="H63" s="265"/>
      <c r="I63" s="265"/>
      <c r="J63" s="265"/>
      <c r="K63" s="265"/>
      <c r="L63" s="9"/>
      <c r="M63" s="510"/>
      <c r="N63" s="18"/>
      <c r="O63"/>
      <c r="P63"/>
    </row>
    <row r="64" spans="1:16" ht="15.75" customHeight="1">
      <c r="A64" s="30" t="s">
        <v>303</v>
      </c>
      <c r="B64" s="30"/>
      <c r="C64" s="30"/>
      <c r="D64" s="30"/>
      <c r="E64" s="1"/>
      <c r="F64" s="1"/>
      <c r="G64" s="522">
        <v>0.2</v>
      </c>
      <c r="H64" s="291"/>
      <c r="I64" s="353"/>
      <c r="J64" s="46"/>
      <c r="K64" s="46"/>
      <c r="L64" s="9"/>
      <c r="M64" s="510"/>
      <c r="N64" s="18"/>
      <c r="O64"/>
      <c r="P64"/>
    </row>
    <row r="65" spans="1:11" ht="7.5" customHeight="1">
      <c r="A65" s="30"/>
      <c r="B65" s="30"/>
      <c r="C65" s="30"/>
      <c r="D65" s="1"/>
      <c r="E65" s="1"/>
      <c r="F65" s="1"/>
      <c r="G65" s="265"/>
      <c r="H65" s="265"/>
      <c r="J65" s="510"/>
      <c r="K65" s="18"/>
    </row>
    <row r="66" spans="1:11" ht="15" customHeight="1">
      <c r="A66" s="31" t="s">
        <v>328</v>
      </c>
      <c r="B66" s="28"/>
      <c r="C66" s="28"/>
      <c r="D66" s="266"/>
      <c r="E66" s="267"/>
      <c r="F66" s="267"/>
      <c r="G66" s="268"/>
      <c r="H66" s="523">
        <f>G56*G60*(1+G64)</f>
        <v>359120</v>
      </c>
      <c r="I66" s="71"/>
      <c r="J66" s="1"/>
      <c r="K66" s="18"/>
    </row>
    <row r="67" spans="1:11" ht="12.75" customHeight="1">
      <c r="A67" s="43"/>
      <c r="B67" s="44"/>
      <c r="C67" s="44"/>
      <c r="D67" s="269"/>
      <c r="E67" s="269"/>
      <c r="F67" s="269"/>
      <c r="G67" s="270"/>
      <c r="H67" s="270"/>
      <c r="I67" s="63"/>
      <c r="J67" s="45"/>
      <c r="K67" s="18"/>
    </row>
    <row r="68" spans="1:11" ht="12.75" customHeight="1">
      <c r="A68" s="43"/>
      <c r="B68" s="44"/>
      <c r="C68" s="44"/>
      <c r="D68" s="269"/>
      <c r="E68" s="559" t="s">
        <v>329</v>
      </c>
      <c r="F68" s="553"/>
      <c r="G68" s="558" t="s">
        <v>5</v>
      </c>
      <c r="H68" s="270"/>
      <c r="I68" s="63"/>
      <c r="J68" s="45"/>
      <c r="K68" s="18"/>
    </row>
    <row r="69" spans="1:10" ht="12.75" customHeight="1">
      <c r="A69" s="271" t="s">
        <v>54</v>
      </c>
      <c r="B69" s="271"/>
      <c r="C69" s="272"/>
      <c r="D69" s="1"/>
      <c r="E69" s="554">
        <v>0.02</v>
      </c>
      <c r="F69" s="555"/>
      <c r="G69" s="343">
        <v>0.02</v>
      </c>
      <c r="H69" s="285">
        <f>$H$66*G69</f>
        <v>7182</v>
      </c>
      <c r="I69" s="59"/>
      <c r="J69" s="238"/>
    </row>
    <row r="70" spans="1:10" ht="12.75" customHeight="1">
      <c r="A70" s="271" t="s">
        <v>36</v>
      </c>
      <c r="B70" s="271"/>
      <c r="C70" s="272"/>
      <c r="D70" s="1"/>
      <c r="E70" s="554">
        <v>0.08</v>
      </c>
      <c r="F70" s="555"/>
      <c r="G70" s="344">
        <v>0.08</v>
      </c>
      <c r="H70" s="285">
        <f aca="true" t="shared" si="1" ref="H70:H78">$H$66*G70</f>
        <v>28730</v>
      </c>
      <c r="I70" s="59"/>
      <c r="J70" s="238"/>
    </row>
    <row r="71" spans="1:10" ht="12.75" customHeight="1">
      <c r="A71" s="271" t="s">
        <v>37</v>
      </c>
      <c r="B71" s="271"/>
      <c r="C71" s="272"/>
      <c r="D71" s="1"/>
      <c r="E71" s="554">
        <v>0.12</v>
      </c>
      <c r="F71" s="555"/>
      <c r="G71" s="344">
        <v>0.12</v>
      </c>
      <c r="H71" s="285">
        <f t="shared" si="1"/>
        <v>43094</v>
      </c>
      <c r="I71" s="59"/>
      <c r="J71" s="238"/>
    </row>
    <row r="72" spans="1:12" ht="12.75" customHeight="1">
      <c r="A72" s="271" t="s">
        <v>38</v>
      </c>
      <c r="B72" s="271"/>
      <c r="C72" s="272"/>
      <c r="D72" s="1"/>
      <c r="E72" s="554">
        <v>0.05</v>
      </c>
      <c r="F72" s="555"/>
      <c r="G72" s="344">
        <v>0.05</v>
      </c>
      <c r="H72" s="285">
        <f t="shared" si="1"/>
        <v>17956</v>
      </c>
      <c r="I72" s="59"/>
      <c r="J72" s="238"/>
      <c r="L72" s="1" t="s">
        <v>103</v>
      </c>
    </row>
    <row r="73" spans="1:10" ht="12.75" customHeight="1">
      <c r="A73" s="271" t="s">
        <v>39</v>
      </c>
      <c r="B73" s="271"/>
      <c r="C73" s="272"/>
      <c r="D73" s="1"/>
      <c r="E73" s="554">
        <v>0.22</v>
      </c>
      <c r="F73" s="555"/>
      <c r="G73" s="344">
        <v>0.22</v>
      </c>
      <c r="H73" s="285">
        <f t="shared" si="1"/>
        <v>79006</v>
      </c>
      <c r="I73" s="59"/>
      <c r="J73" s="238"/>
    </row>
    <row r="74" spans="1:10" ht="12.75" customHeight="1">
      <c r="A74" s="271" t="s">
        <v>40</v>
      </c>
      <c r="B74" s="271"/>
      <c r="C74" s="272"/>
      <c r="D74" s="1"/>
      <c r="E74" s="554">
        <v>0.07</v>
      </c>
      <c r="F74" s="555"/>
      <c r="G74" s="344">
        <v>0.07</v>
      </c>
      <c r="H74" s="285">
        <f t="shared" si="1"/>
        <v>25138</v>
      </c>
      <c r="I74" s="59"/>
      <c r="J74" s="238"/>
    </row>
    <row r="75" spans="1:10" ht="12.75" customHeight="1">
      <c r="A75" s="271" t="s">
        <v>65</v>
      </c>
      <c r="B75" s="271"/>
      <c r="C75" s="272"/>
      <c r="D75" s="1"/>
      <c r="E75" s="554">
        <v>0.03</v>
      </c>
      <c r="F75" s="555"/>
      <c r="G75" s="344">
        <v>0.03</v>
      </c>
      <c r="H75" s="285">
        <f t="shared" si="1"/>
        <v>10774</v>
      </c>
      <c r="I75" s="59"/>
      <c r="J75" s="238"/>
    </row>
    <row r="76" spans="1:10" ht="12.75" customHeight="1">
      <c r="A76" s="271" t="s">
        <v>55</v>
      </c>
      <c r="B76" s="271"/>
      <c r="C76" s="272"/>
      <c r="D76" s="1"/>
      <c r="E76" s="554">
        <v>0.04</v>
      </c>
      <c r="F76" s="555"/>
      <c r="G76" s="344">
        <v>0.04</v>
      </c>
      <c r="H76" s="285">
        <f t="shared" si="1"/>
        <v>14365</v>
      </c>
      <c r="I76" s="59"/>
      <c r="J76" s="238"/>
    </row>
    <row r="77" spans="1:10" ht="12.75" customHeight="1">
      <c r="A77" s="251" t="s">
        <v>86</v>
      </c>
      <c r="B77" s="251"/>
      <c r="C77" s="272"/>
      <c r="D77" s="1"/>
      <c r="E77" s="554">
        <v>0.35</v>
      </c>
      <c r="F77" s="555"/>
      <c r="G77" s="344">
        <v>0.35</v>
      </c>
      <c r="H77" s="285">
        <f t="shared" si="1"/>
        <v>125692</v>
      </c>
      <c r="I77" s="59"/>
      <c r="J77" s="238"/>
    </row>
    <row r="78" spans="1:10" ht="12.75" customHeight="1">
      <c r="A78" s="276" t="s">
        <v>56</v>
      </c>
      <c r="B78" s="276"/>
      <c r="C78" s="277"/>
      <c r="D78" s="57"/>
      <c r="E78" s="556">
        <v>0.02</v>
      </c>
      <c r="F78" s="557"/>
      <c r="G78" s="345">
        <v>0.02</v>
      </c>
      <c r="H78" s="286">
        <f t="shared" si="1"/>
        <v>7182</v>
      </c>
      <c r="I78" s="63"/>
      <c r="J78" s="238"/>
    </row>
    <row r="79" spans="1:10" ht="12.75" customHeight="1">
      <c r="A79" s="280" t="s">
        <v>45</v>
      </c>
      <c r="B79" s="251"/>
      <c r="C79" s="30"/>
      <c r="D79" s="1"/>
      <c r="E79" s="281"/>
      <c r="F79" s="281"/>
      <c r="G79" s="346">
        <f>SUM(G69:G78)</f>
        <v>1</v>
      </c>
      <c r="H79" s="287">
        <f>SUM(H69:H78)</f>
        <v>359119</v>
      </c>
      <c r="J79" s="146">
        <f>H79</f>
        <v>359119</v>
      </c>
    </row>
    <row r="80" spans="7:10" ht="12.75" customHeight="1">
      <c r="G80" s="163"/>
      <c r="J80" s="238"/>
    </row>
    <row r="81" spans="1:14" ht="12.75" customHeight="1">
      <c r="A81" s="54" t="s">
        <v>171</v>
      </c>
      <c r="G81" s="355">
        <v>0</v>
      </c>
      <c r="H81" s="356">
        <v>0</v>
      </c>
      <c r="J81" s="146">
        <f>G81*H81</f>
        <v>0</v>
      </c>
      <c r="L81" s="49"/>
      <c r="M81" s="49"/>
      <c r="N81" s="49"/>
    </row>
    <row r="82" spans="7:10" ht="12.75" customHeight="1">
      <c r="G82" s="163"/>
      <c r="J82" s="238"/>
    </row>
    <row r="83" spans="1:11" s="35" customFormat="1" ht="12.75">
      <c r="A83" s="141" t="s">
        <v>304</v>
      </c>
      <c r="B83" s="142"/>
      <c r="C83" s="143"/>
      <c r="D83" s="143"/>
      <c r="E83" s="144"/>
      <c r="F83" s="145"/>
      <c r="G83" s="164"/>
      <c r="H83" s="144"/>
      <c r="I83" s="144"/>
      <c r="J83" s="146">
        <f>J79+J81</f>
        <v>359119</v>
      </c>
      <c r="K83" s="39"/>
    </row>
    <row r="84" spans="2:11" s="35" customFormat="1" ht="4.5" customHeight="1">
      <c r="B84" s="36"/>
      <c r="C84" s="37"/>
      <c r="D84" s="37"/>
      <c r="E84" s="72"/>
      <c r="F84" s="73"/>
      <c r="G84" s="74"/>
      <c r="H84" s="102"/>
      <c r="J84" s="135"/>
      <c r="K84" s="39"/>
    </row>
    <row r="85" spans="1:11" s="35" customFormat="1" ht="12.75">
      <c r="A85" s="75" t="s">
        <v>13</v>
      </c>
      <c r="B85" s="36"/>
      <c r="C85" s="37"/>
      <c r="D85" s="37"/>
      <c r="E85" s="83"/>
      <c r="F85" s="83"/>
      <c r="G85" s="338">
        <v>0.04</v>
      </c>
      <c r="H85" s="103"/>
      <c r="I85" s="40"/>
      <c r="J85" s="136">
        <f>ROUND(J83*G85,2)</f>
        <v>14365</v>
      </c>
      <c r="K85" s="39"/>
    </row>
    <row r="86" spans="1:11" s="35" customFormat="1" ht="3" customHeight="1">
      <c r="A86" s="76"/>
      <c r="B86" s="77"/>
      <c r="C86" s="78"/>
      <c r="D86" s="78"/>
      <c r="E86" s="85"/>
      <c r="F86" s="85"/>
      <c r="G86" s="339"/>
      <c r="H86" s="104"/>
      <c r="I86" s="76"/>
      <c r="J86" s="137"/>
      <c r="K86" s="39"/>
    </row>
    <row r="87" spans="2:11" s="35" customFormat="1" ht="3" customHeight="1">
      <c r="B87" s="36"/>
      <c r="C87" s="37"/>
      <c r="D87" s="37"/>
      <c r="E87" s="88"/>
      <c r="F87" s="88"/>
      <c r="G87" s="340"/>
      <c r="H87" s="105"/>
      <c r="I87" s="89"/>
      <c r="J87" s="135"/>
      <c r="K87" s="39"/>
    </row>
    <row r="88" spans="1:11" s="35" customFormat="1" ht="12.75">
      <c r="A88" s="80" t="s">
        <v>305</v>
      </c>
      <c r="B88" s="81"/>
      <c r="C88" s="82"/>
      <c r="D88" s="82"/>
      <c r="E88" s="38"/>
      <c r="F88" s="38"/>
      <c r="G88" s="337"/>
      <c r="H88" s="103"/>
      <c r="I88" s="40"/>
      <c r="J88" s="138">
        <f>J83+J85</f>
        <v>373484</v>
      </c>
      <c r="K88" s="39"/>
    </row>
    <row r="89" spans="1:11" s="35" customFormat="1" ht="12.75">
      <c r="A89" s="35" t="s">
        <v>14</v>
      </c>
      <c r="B89" s="36"/>
      <c r="D89" s="37"/>
      <c r="E89" s="79"/>
      <c r="F89" s="79"/>
      <c r="G89" s="41">
        <v>0.2</v>
      </c>
      <c r="H89" s="41"/>
      <c r="J89" s="139">
        <f>ROUND(J88*G89,2)</f>
        <v>74697</v>
      </c>
      <c r="K89" s="39"/>
    </row>
    <row r="90" spans="1:11" s="35" customFormat="1" ht="3" customHeight="1">
      <c r="A90" s="40"/>
      <c r="B90" s="308"/>
      <c r="C90" s="87"/>
      <c r="D90" s="87"/>
      <c r="E90" s="79"/>
      <c r="F90" s="79"/>
      <c r="G90" s="74"/>
      <c r="H90" s="102"/>
      <c r="J90" s="140"/>
      <c r="K90" s="39"/>
    </row>
    <row r="91" spans="1:11" s="40" customFormat="1" ht="12.75">
      <c r="A91" s="296" t="s">
        <v>306</v>
      </c>
      <c r="B91" s="309"/>
      <c r="C91" s="297"/>
      <c r="D91" s="297"/>
      <c r="E91" s="298"/>
      <c r="F91" s="299"/>
      <c r="G91" s="300"/>
      <c r="H91" s="300"/>
      <c r="I91" s="298"/>
      <c r="J91" s="301">
        <f>SUM(J87:J89)</f>
        <v>448181</v>
      </c>
      <c r="K91" s="39"/>
    </row>
    <row r="92" ht="4.5" customHeight="1"/>
    <row r="93" spans="1:7" ht="12.75">
      <c r="A93" s="311" t="s">
        <v>136</v>
      </c>
      <c r="G93" s="520">
        <f>J88/G33</f>
        <v>0.012533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conditionalFormatting sqref="G61">
    <cfRule type="expression" priority="2" dxfId="12" stopIfTrue="1">
      <formula>$G$56&gt;1999999.99</formula>
    </cfRule>
  </conditionalFormatting>
  <conditionalFormatting sqref="G62">
    <cfRule type="expression" priority="1" dxfId="12" stopIfTrue="1">
      <formula>$G$56&lt;2000000</formula>
    </cfRule>
  </conditionalFormatting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2:P93"/>
  <sheetViews>
    <sheetView showGridLines="0" zoomScale="85" zoomScaleNormal="85" zoomScaleSheetLayoutView="85" zoomScalePageLayoutView="70" workbookViewId="0" topLeftCell="A37">
      <selection activeCell="J71" sqref="J71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111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0</v>
      </c>
      <c r="J12" s="229">
        <f aca="true" t="shared" si="0" ref="J12:J19">G12*I12</f>
        <v>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0</v>
      </c>
      <c r="J13" s="325">
        <f t="shared" si="0"/>
        <v>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0</v>
      </c>
      <c r="J14" s="325">
        <f t="shared" si="0"/>
        <v>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0</v>
      </c>
      <c r="J15" s="325">
        <f t="shared" si="0"/>
        <v>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0</v>
      </c>
      <c r="J16" s="325">
        <f t="shared" si="0"/>
        <v>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1</v>
      </c>
      <c r="J17" s="325">
        <f t="shared" si="0"/>
        <v>150000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0</v>
      </c>
      <c r="J19" s="326">
        <f t="shared" si="0"/>
        <v>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0</v>
      </c>
      <c r="J21" s="227">
        <f>G21*I21</f>
        <v>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62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ROUND(SUM(J7:J35),2)</f>
        <v>460000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302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3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93">
        <f>SUM(G45:G50)</f>
        <v>30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460000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85</v>
      </c>
      <c r="B58" s="30"/>
      <c r="C58" s="30"/>
      <c r="D58" s="1"/>
      <c r="E58" s="1"/>
      <c r="F58" s="1"/>
      <c r="G58" s="147">
        <f>0.03*G52+0.73</f>
        <v>1.63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87</v>
      </c>
      <c r="B60" s="30"/>
      <c r="C60" s="30"/>
      <c r="D60" s="1"/>
      <c r="E60" s="1"/>
      <c r="F60" s="1"/>
      <c r="G60" s="530">
        <f>ROUND(IF(G56&lt;2000000,202*G56^(-0.2248)*G58/100,(37.8*G56^(-0.109)*G58/100)),6)</f>
        <v>0.175611</v>
      </c>
      <c r="H60" s="1"/>
      <c r="J60" s="510"/>
      <c r="K60" s="18"/>
    </row>
    <row r="61" spans="1:11" ht="18" customHeight="1">
      <c r="A61" s="30" t="s">
        <v>101</v>
      </c>
      <c r="B61" s="30"/>
      <c r="C61" s="30"/>
      <c r="D61" s="1"/>
      <c r="E61" s="1"/>
      <c r="F61" s="1"/>
      <c r="G61" s="359">
        <f>202*G56^(-0.2248)*G58/100</f>
        <v>0.175611</v>
      </c>
      <c r="H61" s="352" t="str">
        <f>IF(G56&lt;2000000,"(PL + ÖBA)","")</f>
        <v>(PL + ÖBA)</v>
      </c>
      <c r="J61" s="510"/>
      <c r="K61" s="18"/>
    </row>
    <row r="62" spans="1:11" ht="18" customHeight="1">
      <c r="A62" s="30" t="s">
        <v>102</v>
      </c>
      <c r="B62" s="30"/>
      <c r="C62" s="30"/>
      <c r="D62" s="30"/>
      <c r="E62" s="1"/>
      <c r="F62" s="1"/>
      <c r="G62" s="359">
        <f>37.8*G56^(-0.109)*G58/100</f>
        <v>0.148744</v>
      </c>
      <c r="H62" s="531">
        <f>IF(G56&gt;1999999.99,"(PL + ÖBA)","")</f>
      </c>
      <c r="J62" s="510"/>
      <c r="K62" s="18"/>
    </row>
    <row r="63" spans="1:16" ht="3" customHeight="1">
      <c r="A63" s="30"/>
      <c r="B63" s="30"/>
      <c r="C63" s="30"/>
      <c r="D63" s="1"/>
      <c r="E63" s="1"/>
      <c r="F63" s="1"/>
      <c r="G63" s="265"/>
      <c r="H63" s="265"/>
      <c r="I63" s="265"/>
      <c r="J63" s="265"/>
      <c r="K63" s="265"/>
      <c r="L63" s="9"/>
      <c r="M63" s="510"/>
      <c r="N63" s="18"/>
      <c r="O63"/>
      <c r="P63"/>
    </row>
    <row r="64" spans="1:16" ht="15.75" customHeight="1">
      <c r="A64" s="30" t="s">
        <v>303</v>
      </c>
      <c r="B64" s="30"/>
      <c r="C64" s="30"/>
      <c r="D64" s="30"/>
      <c r="E64" s="1"/>
      <c r="F64" s="1"/>
      <c r="G64" s="522">
        <v>0.2</v>
      </c>
      <c r="H64" s="291"/>
      <c r="I64" s="353"/>
      <c r="J64" s="46"/>
      <c r="K64" s="46"/>
      <c r="L64" s="9"/>
      <c r="M64" s="510"/>
      <c r="N64" s="18"/>
      <c r="O64"/>
      <c r="P64"/>
    </row>
    <row r="65" spans="1:11" ht="7.5" customHeight="1">
      <c r="A65" s="30"/>
      <c r="B65" s="30"/>
      <c r="C65" s="30"/>
      <c r="D65" s="1"/>
      <c r="E65" s="1"/>
      <c r="F65" s="1"/>
      <c r="G65" s="265"/>
      <c r="H65" s="265"/>
      <c r="J65" s="510"/>
      <c r="K65" s="18"/>
    </row>
    <row r="66" spans="1:11" ht="15" customHeight="1">
      <c r="A66" s="31" t="s">
        <v>328</v>
      </c>
      <c r="B66" s="28"/>
      <c r="C66" s="28"/>
      <c r="D66" s="266"/>
      <c r="E66" s="267"/>
      <c r="F66" s="267"/>
      <c r="G66" s="268"/>
      <c r="H66" s="523">
        <f>G56*G60*(1+G64)</f>
        <v>96937</v>
      </c>
      <c r="I66" s="71"/>
      <c r="J66" s="1"/>
      <c r="K66" s="18"/>
    </row>
    <row r="67" spans="1:11" ht="12.75" customHeight="1">
      <c r="A67" s="43"/>
      <c r="B67" s="44"/>
      <c r="C67" s="44"/>
      <c r="D67" s="269"/>
      <c r="E67" s="269"/>
      <c r="F67" s="269"/>
      <c r="G67" s="270"/>
      <c r="H67" s="270"/>
      <c r="I67" s="63"/>
      <c r="J67" s="45"/>
      <c r="K67" s="18"/>
    </row>
    <row r="68" spans="1:11" ht="12.75" customHeight="1">
      <c r="A68" s="43"/>
      <c r="B68" s="44"/>
      <c r="C68" s="44"/>
      <c r="D68" s="269"/>
      <c r="E68" s="559" t="s">
        <v>329</v>
      </c>
      <c r="F68" s="553"/>
      <c r="G68" s="558" t="s">
        <v>5</v>
      </c>
      <c r="H68" s="270"/>
      <c r="I68" s="63"/>
      <c r="J68" s="45"/>
      <c r="K68" s="18"/>
    </row>
    <row r="69" spans="1:10" ht="12.75" customHeight="1">
      <c r="A69" s="271" t="s">
        <v>54</v>
      </c>
      <c r="B69" s="271"/>
      <c r="C69" s="272"/>
      <c r="D69" s="1"/>
      <c r="E69" s="554">
        <v>0.02</v>
      </c>
      <c r="F69" s="555"/>
      <c r="G69" s="343">
        <v>0.02</v>
      </c>
      <c r="H69" s="285">
        <f>$H$66*G69</f>
        <v>1939</v>
      </c>
      <c r="I69" s="59"/>
      <c r="J69" s="238"/>
    </row>
    <row r="70" spans="1:10" ht="12.75" customHeight="1">
      <c r="A70" s="271" t="s">
        <v>36</v>
      </c>
      <c r="B70" s="271"/>
      <c r="C70" s="272"/>
      <c r="D70" s="1"/>
      <c r="E70" s="554">
        <v>0.08</v>
      </c>
      <c r="F70" s="555"/>
      <c r="G70" s="344">
        <v>0.08</v>
      </c>
      <c r="H70" s="285">
        <f aca="true" t="shared" si="1" ref="H70:H78">$H$66*G70</f>
        <v>7755</v>
      </c>
      <c r="I70" s="59"/>
      <c r="J70" s="238"/>
    </row>
    <row r="71" spans="1:10" ht="12.75" customHeight="1">
      <c r="A71" s="271" t="s">
        <v>37</v>
      </c>
      <c r="B71" s="271"/>
      <c r="C71" s="272"/>
      <c r="D71" s="1"/>
      <c r="E71" s="554">
        <v>0.12</v>
      </c>
      <c r="F71" s="555"/>
      <c r="G71" s="344">
        <v>0.12</v>
      </c>
      <c r="H71" s="285">
        <f t="shared" si="1"/>
        <v>11632</v>
      </c>
      <c r="I71" s="59"/>
      <c r="J71" s="238"/>
    </row>
    <row r="72" spans="1:12" ht="12.75" customHeight="1">
      <c r="A72" s="271" t="s">
        <v>38</v>
      </c>
      <c r="B72" s="271"/>
      <c r="C72" s="272"/>
      <c r="D72" s="1"/>
      <c r="E72" s="554">
        <v>0.05</v>
      </c>
      <c r="F72" s="555"/>
      <c r="G72" s="344">
        <v>0.05</v>
      </c>
      <c r="H72" s="285">
        <f t="shared" si="1"/>
        <v>4847</v>
      </c>
      <c r="I72" s="59"/>
      <c r="J72" s="238"/>
      <c r="L72" s="1" t="s">
        <v>103</v>
      </c>
    </row>
    <row r="73" spans="1:10" ht="12.75" customHeight="1">
      <c r="A73" s="271" t="s">
        <v>39</v>
      </c>
      <c r="B73" s="271"/>
      <c r="C73" s="272"/>
      <c r="D73" s="1"/>
      <c r="E73" s="554">
        <v>0.22</v>
      </c>
      <c r="F73" s="555"/>
      <c r="G73" s="344">
        <v>0.22</v>
      </c>
      <c r="H73" s="285">
        <f t="shared" si="1"/>
        <v>21326</v>
      </c>
      <c r="I73" s="59"/>
      <c r="J73" s="238"/>
    </row>
    <row r="74" spans="1:10" ht="12.75" customHeight="1">
      <c r="A74" s="271" t="s">
        <v>40</v>
      </c>
      <c r="B74" s="271"/>
      <c r="C74" s="272"/>
      <c r="D74" s="1"/>
      <c r="E74" s="554">
        <v>0.07</v>
      </c>
      <c r="F74" s="555"/>
      <c r="G74" s="344">
        <v>0.07</v>
      </c>
      <c r="H74" s="285">
        <f t="shared" si="1"/>
        <v>6786</v>
      </c>
      <c r="I74" s="59"/>
      <c r="J74" s="238"/>
    </row>
    <row r="75" spans="1:10" ht="12.75" customHeight="1">
      <c r="A75" s="271" t="s">
        <v>65</v>
      </c>
      <c r="B75" s="271"/>
      <c r="C75" s="272"/>
      <c r="D75" s="1"/>
      <c r="E75" s="554">
        <v>0.03</v>
      </c>
      <c r="F75" s="555"/>
      <c r="G75" s="344">
        <v>0.03</v>
      </c>
      <c r="H75" s="285">
        <f t="shared" si="1"/>
        <v>2908</v>
      </c>
      <c r="I75" s="59"/>
      <c r="J75" s="238"/>
    </row>
    <row r="76" spans="1:10" ht="12.75" customHeight="1">
      <c r="A76" s="271" t="s">
        <v>55</v>
      </c>
      <c r="B76" s="271"/>
      <c r="C76" s="272"/>
      <c r="D76" s="1"/>
      <c r="E76" s="554">
        <v>0.04</v>
      </c>
      <c r="F76" s="555"/>
      <c r="G76" s="344">
        <v>0.04</v>
      </c>
      <c r="H76" s="285">
        <f t="shared" si="1"/>
        <v>3877</v>
      </c>
      <c r="I76" s="59"/>
      <c r="J76" s="238"/>
    </row>
    <row r="77" spans="1:10" ht="12.75" customHeight="1">
      <c r="A77" s="251" t="s">
        <v>86</v>
      </c>
      <c r="B77" s="251"/>
      <c r="C77" s="272"/>
      <c r="D77" s="1"/>
      <c r="E77" s="554">
        <v>0.35</v>
      </c>
      <c r="F77" s="555"/>
      <c r="G77" s="344">
        <v>0.35</v>
      </c>
      <c r="H77" s="285">
        <f t="shared" si="1"/>
        <v>33928</v>
      </c>
      <c r="I77" s="59"/>
      <c r="J77" s="238"/>
    </row>
    <row r="78" spans="1:10" ht="12.75" customHeight="1">
      <c r="A78" s="276" t="s">
        <v>56</v>
      </c>
      <c r="B78" s="276"/>
      <c r="C78" s="277"/>
      <c r="D78" s="57"/>
      <c r="E78" s="556">
        <v>0.02</v>
      </c>
      <c r="F78" s="557"/>
      <c r="G78" s="345">
        <v>0.02</v>
      </c>
      <c r="H78" s="286">
        <f t="shared" si="1"/>
        <v>1939</v>
      </c>
      <c r="I78" s="63"/>
      <c r="J78" s="238"/>
    </row>
    <row r="79" spans="1:10" ht="12.75" customHeight="1">
      <c r="A79" s="280" t="s">
        <v>45</v>
      </c>
      <c r="B79" s="251"/>
      <c r="C79" s="30"/>
      <c r="D79" s="1"/>
      <c r="E79" s="281"/>
      <c r="F79" s="281"/>
      <c r="G79" s="346">
        <f>SUM(G69:G78)</f>
        <v>1</v>
      </c>
      <c r="H79" s="287">
        <f>SUM(H69:H78)</f>
        <v>96937</v>
      </c>
      <c r="J79" s="146">
        <f>H79</f>
        <v>96937</v>
      </c>
    </row>
    <row r="80" spans="7:10" ht="12.75" customHeight="1">
      <c r="G80" s="163"/>
      <c r="J80" s="238"/>
    </row>
    <row r="81" spans="1:14" ht="12.75" customHeight="1">
      <c r="A81" s="54" t="s">
        <v>171</v>
      </c>
      <c r="G81" s="355">
        <v>0</v>
      </c>
      <c r="H81" s="356">
        <v>0</v>
      </c>
      <c r="J81" s="146">
        <f>G81*H81</f>
        <v>0</v>
      </c>
      <c r="L81" s="49"/>
      <c r="M81" s="49"/>
      <c r="N81" s="49"/>
    </row>
    <row r="82" spans="7:10" ht="12.75" customHeight="1">
      <c r="G82" s="163"/>
      <c r="J82" s="238"/>
    </row>
    <row r="83" spans="1:11" s="35" customFormat="1" ht="12.75">
      <c r="A83" s="141" t="s">
        <v>304</v>
      </c>
      <c r="B83" s="142"/>
      <c r="C83" s="143"/>
      <c r="D83" s="143"/>
      <c r="E83" s="144"/>
      <c r="F83" s="145"/>
      <c r="G83" s="164"/>
      <c r="H83" s="144"/>
      <c r="I83" s="144"/>
      <c r="J83" s="146">
        <f>J79+J81</f>
        <v>96937</v>
      </c>
      <c r="K83" s="39"/>
    </row>
    <row r="84" spans="2:11" s="35" customFormat="1" ht="4.5" customHeight="1">
      <c r="B84" s="36"/>
      <c r="C84" s="37"/>
      <c r="D84" s="37"/>
      <c r="E84" s="72"/>
      <c r="F84" s="73"/>
      <c r="G84" s="74"/>
      <c r="H84" s="102"/>
      <c r="J84" s="135"/>
      <c r="K84" s="39"/>
    </row>
    <row r="85" spans="1:11" s="35" customFormat="1" ht="12.75">
      <c r="A85" s="75" t="s">
        <v>13</v>
      </c>
      <c r="B85" s="36"/>
      <c r="C85" s="37"/>
      <c r="D85" s="37"/>
      <c r="E85" s="83"/>
      <c r="F85" s="83"/>
      <c r="G85" s="338">
        <v>0.04</v>
      </c>
      <c r="H85" s="103"/>
      <c r="I85" s="40"/>
      <c r="J85" s="136">
        <f>ROUND(J83*G85,2)</f>
        <v>3877</v>
      </c>
      <c r="K85" s="39"/>
    </row>
    <row r="86" spans="1:11" s="35" customFormat="1" ht="3" customHeight="1">
      <c r="A86" s="76"/>
      <c r="B86" s="77"/>
      <c r="C86" s="78"/>
      <c r="D86" s="78"/>
      <c r="E86" s="85"/>
      <c r="F86" s="85"/>
      <c r="G86" s="339"/>
      <c r="H86" s="104"/>
      <c r="I86" s="76"/>
      <c r="J86" s="137"/>
      <c r="K86" s="39"/>
    </row>
    <row r="87" spans="2:11" s="35" customFormat="1" ht="3" customHeight="1">
      <c r="B87" s="36"/>
      <c r="C87" s="37"/>
      <c r="D87" s="37"/>
      <c r="E87" s="88"/>
      <c r="F87" s="88"/>
      <c r="G87" s="340"/>
      <c r="H87" s="105"/>
      <c r="I87" s="89"/>
      <c r="J87" s="135"/>
      <c r="K87" s="39"/>
    </row>
    <row r="88" spans="1:11" s="35" customFormat="1" ht="12.75">
      <c r="A88" s="80" t="s">
        <v>305</v>
      </c>
      <c r="B88" s="81"/>
      <c r="C88" s="82"/>
      <c r="D88" s="82"/>
      <c r="E88" s="38"/>
      <c r="F88" s="38"/>
      <c r="G88" s="337"/>
      <c r="H88" s="103"/>
      <c r="I88" s="40"/>
      <c r="J88" s="138">
        <f>J83+J85</f>
        <v>100814</v>
      </c>
      <c r="K88" s="39"/>
    </row>
    <row r="89" spans="1:11" s="35" customFormat="1" ht="12.75">
      <c r="A89" s="35" t="s">
        <v>14</v>
      </c>
      <c r="B89" s="36"/>
      <c r="D89" s="37"/>
      <c r="E89" s="79"/>
      <c r="F89" s="79"/>
      <c r="G89" s="41">
        <v>0.2</v>
      </c>
      <c r="H89" s="41"/>
      <c r="J89" s="139">
        <f>ROUND(J88*G89,2)</f>
        <v>20163</v>
      </c>
      <c r="K89" s="39"/>
    </row>
    <row r="90" spans="1:11" s="35" customFormat="1" ht="3" customHeight="1">
      <c r="A90" s="40"/>
      <c r="B90" s="308"/>
      <c r="C90" s="87"/>
      <c r="D90" s="87"/>
      <c r="E90" s="79"/>
      <c r="F90" s="79"/>
      <c r="G90" s="74"/>
      <c r="H90" s="102"/>
      <c r="J90" s="140"/>
      <c r="K90" s="39"/>
    </row>
    <row r="91" spans="1:11" s="40" customFormat="1" ht="12.75">
      <c r="A91" s="296" t="s">
        <v>306</v>
      </c>
      <c r="B91" s="309"/>
      <c r="C91" s="297"/>
      <c r="D91" s="297"/>
      <c r="E91" s="298"/>
      <c r="F91" s="299"/>
      <c r="G91" s="300"/>
      <c r="H91" s="300"/>
      <c r="I91" s="298"/>
      <c r="J91" s="301">
        <f>SUM(J87:J89)</f>
        <v>120977</v>
      </c>
      <c r="K91" s="39"/>
    </row>
    <row r="92" ht="4.5" customHeight="1"/>
    <row r="93" spans="1:7" ht="12.75">
      <c r="A93" s="311" t="s">
        <v>136</v>
      </c>
      <c r="G93" s="520">
        <f>J88/G33</f>
        <v>0.003383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conditionalFormatting sqref="G61">
    <cfRule type="expression" priority="2" dxfId="12" stopIfTrue="1">
      <formula>$G$56&gt;1999999.99</formula>
    </cfRule>
  </conditionalFormatting>
  <conditionalFormatting sqref="G62">
    <cfRule type="expression" priority="1" dxfId="12" stopIfTrue="1">
      <formula>$G$56&lt;2000000</formula>
    </cfRule>
  </conditionalFormatting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6"/>
  <dimension ref="A2:P93"/>
  <sheetViews>
    <sheetView showGridLines="0" zoomScale="85" zoomScaleNormal="85" zoomScaleSheetLayoutView="85" zoomScalePageLayoutView="70" workbookViewId="0" topLeftCell="A37">
      <selection activeCell="M62" sqref="M62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111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0</v>
      </c>
      <c r="J12" s="229">
        <f aca="true" t="shared" si="0" ref="J12:J19">G12*I12</f>
        <v>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0</v>
      </c>
      <c r="J13" s="325">
        <f t="shared" si="0"/>
        <v>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0</v>
      </c>
      <c r="J14" s="325">
        <f t="shared" si="0"/>
        <v>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0</v>
      </c>
      <c r="J15" s="325">
        <f t="shared" si="0"/>
        <v>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0</v>
      </c>
      <c r="J16" s="325">
        <f t="shared" si="0"/>
        <v>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0</v>
      </c>
      <c r="J17" s="325">
        <f t="shared" si="0"/>
        <v>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1</v>
      </c>
      <c r="J19" s="326">
        <f t="shared" si="0"/>
        <v>300000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0</v>
      </c>
      <c r="J21" s="227">
        <f>G21*I21</f>
        <v>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62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ROUND(SUM(J7:J35),2)</f>
        <v>610000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302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3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93">
        <f>SUM(G45:G50)</f>
        <v>30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610000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85</v>
      </c>
      <c r="B58" s="30"/>
      <c r="C58" s="30"/>
      <c r="D58" s="1"/>
      <c r="E58" s="1"/>
      <c r="F58" s="1"/>
      <c r="G58" s="147">
        <f>0.03*G52+0.73</f>
        <v>1.63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87</v>
      </c>
      <c r="B60" s="30"/>
      <c r="C60" s="30"/>
      <c r="D60" s="1"/>
      <c r="E60" s="1"/>
      <c r="F60" s="1"/>
      <c r="G60" s="530">
        <f>ROUND(IF(G56&lt;2000000,202*G56^(-0.2248)*G58/100,(37.8*G56^(-0.109)*G58/100)),6)</f>
        <v>0.164815</v>
      </c>
      <c r="H60" s="1"/>
      <c r="J60" s="510"/>
      <c r="K60" s="18"/>
    </row>
    <row r="61" spans="1:11" ht="18" customHeight="1">
      <c r="A61" s="30" t="s">
        <v>101</v>
      </c>
      <c r="B61" s="30"/>
      <c r="C61" s="30"/>
      <c r="D61" s="1"/>
      <c r="E61" s="1"/>
      <c r="F61" s="1"/>
      <c r="G61" s="359">
        <f>202*G56^(-0.2248)*G58/100</f>
        <v>0.164815</v>
      </c>
      <c r="H61" s="352" t="str">
        <f>IF(G56&lt;2000000,"(PL + ÖBA)","")</f>
        <v>(PL + ÖBA)</v>
      </c>
      <c r="J61" s="510"/>
      <c r="K61" s="18"/>
    </row>
    <row r="62" spans="1:11" ht="18" customHeight="1">
      <c r="A62" s="30" t="s">
        <v>102</v>
      </c>
      <c r="B62" s="30"/>
      <c r="C62" s="30"/>
      <c r="D62" s="30"/>
      <c r="E62" s="1"/>
      <c r="F62" s="1"/>
      <c r="G62" s="359">
        <f>37.8*G56^(-0.109)*G58/100</f>
        <v>0.144238</v>
      </c>
      <c r="H62" s="531">
        <f>IF(G56&gt;1999999.99,"(PL + ÖBA)","")</f>
      </c>
      <c r="J62" s="510"/>
      <c r="K62" s="18"/>
    </row>
    <row r="63" spans="1:16" ht="3" customHeight="1">
      <c r="A63" s="30"/>
      <c r="B63" s="30"/>
      <c r="C63" s="30"/>
      <c r="D63" s="1"/>
      <c r="E63" s="1"/>
      <c r="F63" s="1"/>
      <c r="G63" s="265"/>
      <c r="H63" s="265"/>
      <c r="I63" s="265"/>
      <c r="J63" s="265"/>
      <c r="K63" s="265"/>
      <c r="L63" s="9"/>
      <c r="M63" s="510"/>
      <c r="N63" s="18"/>
      <c r="O63"/>
      <c r="P63"/>
    </row>
    <row r="64" spans="1:16" ht="15.75" customHeight="1">
      <c r="A64" s="30" t="s">
        <v>303</v>
      </c>
      <c r="B64" s="30"/>
      <c r="C64" s="30"/>
      <c r="D64" s="30"/>
      <c r="E64" s="1"/>
      <c r="F64" s="1"/>
      <c r="G64" s="522">
        <v>0.2</v>
      </c>
      <c r="H64" s="291"/>
      <c r="I64" s="353"/>
      <c r="J64" s="46"/>
      <c r="K64" s="46"/>
      <c r="L64" s="9"/>
      <c r="M64" s="510"/>
      <c r="N64" s="18"/>
      <c r="O64"/>
      <c r="P64"/>
    </row>
    <row r="65" spans="1:11" ht="7.5" customHeight="1">
      <c r="A65" s="30"/>
      <c r="B65" s="30"/>
      <c r="C65" s="30"/>
      <c r="D65" s="1"/>
      <c r="E65" s="1"/>
      <c r="F65" s="1"/>
      <c r="G65" s="265"/>
      <c r="H65" s="265"/>
      <c r="J65" s="510"/>
      <c r="K65" s="18"/>
    </row>
    <row r="66" spans="1:11" ht="15" customHeight="1">
      <c r="A66" s="31" t="s">
        <v>328</v>
      </c>
      <c r="B66" s="28"/>
      <c r="C66" s="28"/>
      <c r="D66" s="266"/>
      <c r="E66" s="267"/>
      <c r="F66" s="267"/>
      <c r="G66" s="268"/>
      <c r="H66" s="523">
        <f>G56*G60*(1+G64)</f>
        <v>120645</v>
      </c>
      <c r="I66" s="71"/>
      <c r="J66" s="1"/>
      <c r="K66" s="18"/>
    </row>
    <row r="67" spans="1:11" ht="12.75" customHeight="1">
      <c r="A67" s="43"/>
      <c r="B67" s="44"/>
      <c r="C67" s="44"/>
      <c r="D67" s="269"/>
      <c r="E67" s="269"/>
      <c r="F67" s="269"/>
      <c r="G67" s="270"/>
      <c r="H67" s="270"/>
      <c r="I67" s="63"/>
      <c r="J67" s="45"/>
      <c r="K67" s="18"/>
    </row>
    <row r="68" spans="1:11" ht="12.75" customHeight="1">
      <c r="A68" s="43"/>
      <c r="B68" s="44"/>
      <c r="C68" s="44"/>
      <c r="D68" s="269"/>
      <c r="E68" s="559" t="s">
        <v>329</v>
      </c>
      <c r="F68" s="553"/>
      <c r="G68" s="558" t="s">
        <v>5</v>
      </c>
      <c r="H68" s="270"/>
      <c r="I68" s="63"/>
      <c r="J68" s="45"/>
      <c r="K68" s="18"/>
    </row>
    <row r="69" spans="1:10" ht="12.75" customHeight="1">
      <c r="A69" s="271" t="s">
        <v>54</v>
      </c>
      <c r="B69" s="271"/>
      <c r="C69" s="272"/>
      <c r="D69" s="1"/>
      <c r="E69" s="554">
        <v>0.02</v>
      </c>
      <c r="F69" s="555"/>
      <c r="G69" s="343">
        <v>0.02</v>
      </c>
      <c r="H69" s="285">
        <f>$H$66*G69</f>
        <v>2413</v>
      </c>
      <c r="I69" s="59"/>
      <c r="J69" s="238"/>
    </row>
    <row r="70" spans="1:10" ht="12.75" customHeight="1">
      <c r="A70" s="271" t="s">
        <v>36</v>
      </c>
      <c r="B70" s="271"/>
      <c r="C70" s="272"/>
      <c r="D70" s="1"/>
      <c r="E70" s="554">
        <v>0.08</v>
      </c>
      <c r="F70" s="555"/>
      <c r="G70" s="344">
        <v>0.08</v>
      </c>
      <c r="H70" s="285">
        <f aca="true" t="shared" si="1" ref="H70:H78">$H$66*G70</f>
        <v>9652</v>
      </c>
      <c r="I70" s="59"/>
      <c r="J70" s="238"/>
    </row>
    <row r="71" spans="1:10" ht="12.75" customHeight="1">
      <c r="A71" s="271" t="s">
        <v>37</v>
      </c>
      <c r="B71" s="271"/>
      <c r="C71" s="272"/>
      <c r="D71" s="1"/>
      <c r="E71" s="554">
        <v>0.12</v>
      </c>
      <c r="F71" s="555"/>
      <c r="G71" s="344">
        <v>0.12</v>
      </c>
      <c r="H71" s="285">
        <f t="shared" si="1"/>
        <v>14477</v>
      </c>
      <c r="I71" s="59"/>
      <c r="J71" s="238"/>
    </row>
    <row r="72" spans="1:12" ht="12.75" customHeight="1">
      <c r="A72" s="271" t="s">
        <v>38</v>
      </c>
      <c r="B72" s="271"/>
      <c r="C72" s="272"/>
      <c r="D72" s="1"/>
      <c r="E72" s="554">
        <v>0.05</v>
      </c>
      <c r="F72" s="555"/>
      <c r="G72" s="344">
        <v>0.05</v>
      </c>
      <c r="H72" s="285">
        <f t="shared" si="1"/>
        <v>6032</v>
      </c>
      <c r="I72" s="59"/>
      <c r="J72" s="238"/>
      <c r="L72" s="1" t="s">
        <v>103</v>
      </c>
    </row>
    <row r="73" spans="1:10" ht="12.75" customHeight="1">
      <c r="A73" s="271" t="s">
        <v>39</v>
      </c>
      <c r="B73" s="271"/>
      <c r="C73" s="272"/>
      <c r="D73" s="1"/>
      <c r="E73" s="554">
        <v>0.22</v>
      </c>
      <c r="F73" s="555"/>
      <c r="G73" s="344">
        <v>0.22</v>
      </c>
      <c r="H73" s="285">
        <f t="shared" si="1"/>
        <v>26542</v>
      </c>
      <c r="I73" s="59"/>
      <c r="J73" s="238"/>
    </row>
    <row r="74" spans="1:10" ht="12.75" customHeight="1">
      <c r="A74" s="271" t="s">
        <v>40</v>
      </c>
      <c r="B74" s="271"/>
      <c r="C74" s="272"/>
      <c r="D74" s="1"/>
      <c r="E74" s="554">
        <v>0.07</v>
      </c>
      <c r="F74" s="555"/>
      <c r="G74" s="344">
        <v>0.07</v>
      </c>
      <c r="H74" s="285">
        <f t="shared" si="1"/>
        <v>8445</v>
      </c>
      <c r="I74" s="59"/>
      <c r="J74" s="238"/>
    </row>
    <row r="75" spans="1:10" ht="12.75" customHeight="1">
      <c r="A75" s="271" t="s">
        <v>65</v>
      </c>
      <c r="B75" s="271"/>
      <c r="C75" s="272"/>
      <c r="D75" s="1"/>
      <c r="E75" s="554">
        <v>0.03</v>
      </c>
      <c r="F75" s="555"/>
      <c r="G75" s="344">
        <v>0.03</v>
      </c>
      <c r="H75" s="285">
        <f t="shared" si="1"/>
        <v>3619</v>
      </c>
      <c r="I75" s="59"/>
      <c r="J75" s="238"/>
    </row>
    <row r="76" spans="1:10" ht="12.75" customHeight="1">
      <c r="A76" s="271" t="s">
        <v>55</v>
      </c>
      <c r="B76" s="271"/>
      <c r="C76" s="272"/>
      <c r="D76" s="1"/>
      <c r="E76" s="554">
        <v>0.04</v>
      </c>
      <c r="F76" s="555"/>
      <c r="G76" s="344">
        <v>0.04</v>
      </c>
      <c r="H76" s="285">
        <f t="shared" si="1"/>
        <v>4826</v>
      </c>
      <c r="I76" s="59"/>
      <c r="J76" s="238"/>
    </row>
    <row r="77" spans="1:10" ht="12.75" customHeight="1">
      <c r="A77" s="251" t="s">
        <v>86</v>
      </c>
      <c r="B77" s="251"/>
      <c r="C77" s="272"/>
      <c r="D77" s="1"/>
      <c r="E77" s="554">
        <v>0.35</v>
      </c>
      <c r="F77" s="555"/>
      <c r="G77" s="344">
        <v>0.35</v>
      </c>
      <c r="H77" s="285">
        <f t="shared" si="1"/>
        <v>42226</v>
      </c>
      <c r="I77" s="59"/>
      <c r="J77" s="238"/>
    </row>
    <row r="78" spans="1:10" ht="12.75" customHeight="1">
      <c r="A78" s="276" t="s">
        <v>56</v>
      </c>
      <c r="B78" s="276"/>
      <c r="C78" s="277"/>
      <c r="D78" s="57"/>
      <c r="E78" s="556">
        <v>0.02</v>
      </c>
      <c r="F78" s="557"/>
      <c r="G78" s="345">
        <v>0.02</v>
      </c>
      <c r="H78" s="286">
        <f t="shared" si="1"/>
        <v>2413</v>
      </c>
      <c r="I78" s="63"/>
      <c r="J78" s="238"/>
    </row>
    <row r="79" spans="1:10" ht="12.75" customHeight="1">
      <c r="A79" s="280" t="s">
        <v>45</v>
      </c>
      <c r="B79" s="251"/>
      <c r="C79" s="30"/>
      <c r="D79" s="1"/>
      <c r="E79" s="281"/>
      <c r="F79" s="281"/>
      <c r="G79" s="346">
        <f>SUM(G69:G78)</f>
        <v>1</v>
      </c>
      <c r="H79" s="287">
        <f>SUM(H69:H78)</f>
        <v>120645</v>
      </c>
      <c r="J79" s="146">
        <f>H79</f>
        <v>120645</v>
      </c>
    </row>
    <row r="80" spans="7:10" ht="12.75" customHeight="1">
      <c r="G80" s="163"/>
      <c r="J80" s="238"/>
    </row>
    <row r="81" spans="1:14" ht="12.75" customHeight="1">
      <c r="A81" s="54" t="s">
        <v>171</v>
      </c>
      <c r="G81" s="355">
        <v>0</v>
      </c>
      <c r="H81" s="356">
        <v>0</v>
      </c>
      <c r="J81" s="146">
        <f>G81*H81</f>
        <v>0</v>
      </c>
      <c r="L81" s="49"/>
      <c r="M81" s="49"/>
      <c r="N81" s="49"/>
    </row>
    <row r="82" spans="7:10" ht="12.75" customHeight="1">
      <c r="G82" s="163"/>
      <c r="J82" s="238"/>
    </row>
    <row r="83" spans="1:11" s="35" customFormat="1" ht="12.75">
      <c r="A83" s="141" t="s">
        <v>304</v>
      </c>
      <c r="B83" s="142"/>
      <c r="C83" s="143"/>
      <c r="D83" s="143"/>
      <c r="E83" s="144"/>
      <c r="F83" s="145"/>
      <c r="G83" s="164"/>
      <c r="H83" s="144"/>
      <c r="I83" s="144"/>
      <c r="J83" s="146">
        <f>J79+J81</f>
        <v>120645</v>
      </c>
      <c r="K83" s="39"/>
    </row>
    <row r="84" spans="2:11" s="35" customFormat="1" ht="4.5" customHeight="1">
      <c r="B84" s="36"/>
      <c r="C84" s="37"/>
      <c r="D84" s="37"/>
      <c r="E84" s="72"/>
      <c r="F84" s="73"/>
      <c r="G84" s="74"/>
      <c r="H84" s="102"/>
      <c r="J84" s="135"/>
      <c r="K84" s="39"/>
    </row>
    <row r="85" spans="1:11" s="35" customFormat="1" ht="12.75">
      <c r="A85" s="75" t="s">
        <v>13</v>
      </c>
      <c r="B85" s="36"/>
      <c r="C85" s="37"/>
      <c r="D85" s="37"/>
      <c r="E85" s="83"/>
      <c r="F85" s="83"/>
      <c r="G85" s="338">
        <v>0.04</v>
      </c>
      <c r="H85" s="103"/>
      <c r="I85" s="40"/>
      <c r="J85" s="136">
        <f>ROUND(J83*G85,2)</f>
        <v>4826</v>
      </c>
      <c r="K85" s="39"/>
    </row>
    <row r="86" spans="1:11" s="35" customFormat="1" ht="3" customHeight="1">
      <c r="A86" s="76"/>
      <c r="B86" s="77"/>
      <c r="C86" s="78"/>
      <c r="D86" s="78"/>
      <c r="E86" s="85"/>
      <c r="F86" s="85"/>
      <c r="G86" s="339"/>
      <c r="H86" s="104"/>
      <c r="I86" s="76"/>
      <c r="J86" s="137"/>
      <c r="K86" s="39"/>
    </row>
    <row r="87" spans="2:11" s="35" customFormat="1" ht="3" customHeight="1">
      <c r="B87" s="36"/>
      <c r="C87" s="37"/>
      <c r="D87" s="37"/>
      <c r="E87" s="88"/>
      <c r="F87" s="88"/>
      <c r="G87" s="340"/>
      <c r="H87" s="105"/>
      <c r="I87" s="89"/>
      <c r="J87" s="135"/>
      <c r="K87" s="39"/>
    </row>
    <row r="88" spans="1:11" s="35" customFormat="1" ht="12.75">
      <c r="A88" s="80" t="s">
        <v>305</v>
      </c>
      <c r="B88" s="81"/>
      <c r="C88" s="82"/>
      <c r="D88" s="82"/>
      <c r="E88" s="38"/>
      <c r="F88" s="38"/>
      <c r="G88" s="337"/>
      <c r="H88" s="103"/>
      <c r="I88" s="40"/>
      <c r="J88" s="138">
        <f>J83+J85</f>
        <v>125471</v>
      </c>
      <c r="K88" s="39"/>
    </row>
    <row r="89" spans="1:11" s="35" customFormat="1" ht="12.75">
      <c r="A89" s="35" t="s">
        <v>14</v>
      </c>
      <c r="B89" s="36"/>
      <c r="D89" s="37"/>
      <c r="E89" s="79"/>
      <c r="F89" s="79"/>
      <c r="G89" s="41">
        <v>0.2</v>
      </c>
      <c r="H89" s="41"/>
      <c r="J89" s="139">
        <f>ROUND(J88*G89,2)</f>
        <v>25094</v>
      </c>
      <c r="K89" s="39"/>
    </row>
    <row r="90" spans="1:11" s="35" customFormat="1" ht="3" customHeight="1">
      <c r="A90" s="40"/>
      <c r="B90" s="308"/>
      <c r="C90" s="87"/>
      <c r="D90" s="87"/>
      <c r="E90" s="79"/>
      <c r="F90" s="79"/>
      <c r="G90" s="74"/>
      <c r="H90" s="102"/>
      <c r="J90" s="140"/>
      <c r="K90" s="39"/>
    </row>
    <row r="91" spans="1:11" s="40" customFormat="1" ht="12.75">
      <c r="A91" s="296" t="s">
        <v>306</v>
      </c>
      <c r="B91" s="309"/>
      <c r="C91" s="297"/>
      <c r="D91" s="297"/>
      <c r="E91" s="298"/>
      <c r="F91" s="299"/>
      <c r="G91" s="300"/>
      <c r="H91" s="300"/>
      <c r="I91" s="298"/>
      <c r="J91" s="301">
        <f>SUM(J87:J89)</f>
        <v>150565</v>
      </c>
      <c r="K91" s="39"/>
    </row>
    <row r="92" ht="4.5" customHeight="1"/>
    <row r="93" spans="1:7" ht="12.75">
      <c r="A93" s="311" t="s">
        <v>136</v>
      </c>
      <c r="G93" s="520">
        <f>J88/G33</f>
        <v>0.00421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conditionalFormatting sqref="G61">
    <cfRule type="expression" priority="2" dxfId="12" stopIfTrue="1">
      <formula>$G$56&gt;1999999.99</formula>
    </cfRule>
  </conditionalFormatting>
  <conditionalFormatting sqref="G62">
    <cfRule type="expression" priority="1" dxfId="12" stopIfTrue="1">
      <formula>$G$56&lt;2000000</formula>
    </cfRule>
  </conditionalFormatting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4">
    <tabColor theme="6" tint="0.7999799847602844"/>
  </sheetPr>
  <dimension ref="A1:M34"/>
  <sheetViews>
    <sheetView showGridLines="0" view="pageBreakPreview" zoomScaleSheetLayoutView="100" zoomScalePageLayoutView="70" workbookViewId="0" topLeftCell="A1">
      <selection activeCell="I7" sqref="I7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57421875" style="7" customWidth="1"/>
    <col min="4" max="4" width="33.7109375" style="8" customWidth="1"/>
    <col min="5" max="5" width="9.8515625" style="46" customWidth="1"/>
    <col min="6" max="6" width="14.7109375" style="46" customWidth="1"/>
    <col min="7" max="7" width="2.7109375" style="8" customWidth="1"/>
    <col min="8" max="8" width="11.28125" style="46" customWidth="1"/>
    <col min="9" max="9" width="14.7109375" style="9" customWidth="1" collapsed="1"/>
    <col min="10" max="10" width="2.7109375" style="10" customWidth="1"/>
    <col min="11" max="16384" width="11.57421875" style="1" customWidth="1"/>
  </cols>
  <sheetData>
    <row r="1" spans="6:13" ht="4.5" customHeight="1">
      <c r="F1" s="8"/>
      <c r="G1" s="46"/>
      <c r="H1" s="9"/>
      <c r="I1" s="10"/>
      <c r="J1" s="65"/>
      <c r="K1"/>
      <c r="L1"/>
      <c r="M1"/>
    </row>
    <row r="2" spans="1:13" s="60" customFormat="1" ht="34.5" customHeight="1">
      <c r="A2" s="161"/>
      <c r="C2" s="13"/>
      <c r="D2" s="112"/>
      <c r="F2" s="61"/>
      <c r="G2" s="61"/>
      <c r="H2" s="579" t="s">
        <v>175</v>
      </c>
      <c r="I2" s="580"/>
      <c r="J2" s="68"/>
      <c r="K2" s="62"/>
      <c r="L2" s="62"/>
      <c r="M2" s="62"/>
    </row>
    <row r="3" spans="1:11" s="168" customFormat="1" ht="12.75" customHeight="1">
      <c r="A3" s="374" t="s">
        <v>176</v>
      </c>
      <c r="B3" s="374"/>
      <c r="C3" s="374"/>
      <c r="D3" s="374"/>
      <c r="E3" s="374"/>
      <c r="F3" s="374"/>
      <c r="G3" s="374"/>
      <c r="H3" s="374"/>
      <c r="I3" s="374"/>
      <c r="J3" s="171"/>
      <c r="K3" s="3"/>
    </row>
    <row r="4" spans="9:10" s="11" customFormat="1" ht="6" customHeight="1">
      <c r="I4" s="2"/>
      <c r="J4" s="2"/>
    </row>
    <row r="5" spans="1:10" s="11" customFormat="1" ht="12.75" customHeight="1">
      <c r="A5" s="375" t="s">
        <v>177</v>
      </c>
      <c r="E5" s="109"/>
      <c r="F5" s="50"/>
      <c r="G5" s="50"/>
      <c r="H5" s="16"/>
      <c r="I5" s="133"/>
      <c r="J5" s="50"/>
    </row>
    <row r="6" spans="6:10" s="11" customFormat="1" ht="6" customHeight="1">
      <c r="F6" s="107"/>
      <c r="I6" s="2"/>
      <c r="J6" s="2"/>
    </row>
    <row r="7" spans="1:10" s="12" customFormat="1" ht="12.75" customHeight="1">
      <c r="A7" s="581"/>
      <c r="B7" s="581"/>
      <c r="C7" s="191" t="s">
        <v>178</v>
      </c>
      <c r="D7" s="191"/>
      <c r="E7" s="205"/>
      <c r="F7" s="377"/>
      <c r="G7" s="378"/>
      <c r="H7" s="378"/>
      <c r="I7" s="379">
        <f>F7*H7</f>
        <v>0</v>
      </c>
      <c r="J7" s="56"/>
    </row>
    <row r="8" spans="1:10" s="12" customFormat="1" ht="12.75" customHeight="1">
      <c r="A8" s="581"/>
      <c r="B8" s="581"/>
      <c r="C8" s="380" t="s">
        <v>179</v>
      </c>
      <c r="D8" s="380"/>
      <c r="E8" s="381"/>
      <c r="F8" s="382"/>
      <c r="G8" s="383"/>
      <c r="H8" s="383"/>
      <c r="I8" s="379">
        <f>F8*H8</f>
        <v>0</v>
      </c>
      <c r="J8" s="56"/>
    </row>
    <row r="9" spans="1:10" s="12" customFormat="1" ht="12.75" customHeight="1">
      <c r="A9" s="376"/>
      <c r="B9" s="376"/>
      <c r="C9" s="380" t="s">
        <v>180</v>
      </c>
      <c r="D9" s="380"/>
      <c r="E9" s="381"/>
      <c r="F9" s="382"/>
      <c r="G9" s="383"/>
      <c r="H9" s="383"/>
      <c r="I9" s="379">
        <v>0</v>
      </c>
      <c r="J9" s="56"/>
    </row>
    <row r="10" spans="1:10" s="12" customFormat="1" ht="13.5" customHeight="1">
      <c r="A10" s="376"/>
      <c r="B10" s="376"/>
      <c r="C10" s="380" t="s">
        <v>181</v>
      </c>
      <c r="D10" s="380"/>
      <c r="E10" s="381"/>
      <c r="F10" s="382"/>
      <c r="G10" s="383"/>
      <c r="H10" s="383"/>
      <c r="I10" s="379">
        <v>0</v>
      </c>
      <c r="J10" s="56"/>
    </row>
    <row r="11" spans="1:10" s="12" customFormat="1" ht="13.5" customHeight="1">
      <c r="A11" s="376"/>
      <c r="B11" s="376"/>
      <c r="C11" s="384" t="s">
        <v>182</v>
      </c>
      <c r="D11" s="384"/>
      <c r="E11" s="385"/>
      <c r="F11" s="386"/>
      <c r="G11" s="387"/>
      <c r="H11" s="387"/>
      <c r="I11" s="379">
        <v>0</v>
      </c>
      <c r="J11" s="56"/>
    </row>
    <row r="12" spans="1:10" s="11" customFormat="1" ht="12.75" customHeight="1">
      <c r="A12" s="376"/>
      <c r="B12" s="376"/>
      <c r="C12" s="388" t="s">
        <v>183</v>
      </c>
      <c r="D12" s="388"/>
      <c r="E12" s="389"/>
      <c r="F12" s="390"/>
      <c r="G12" s="391"/>
      <c r="H12" s="391"/>
      <c r="I12" s="379">
        <f>F12*H12</f>
        <v>0</v>
      </c>
      <c r="J12" s="56"/>
    </row>
    <row r="13" spans="1:10" s="12" customFormat="1" ht="12.75" customHeight="1">
      <c r="A13" s="376"/>
      <c r="B13" s="376"/>
      <c r="C13" s="380" t="s">
        <v>184</v>
      </c>
      <c r="D13" s="380"/>
      <c r="E13" s="381"/>
      <c r="F13" s="382"/>
      <c r="G13" s="383"/>
      <c r="H13" s="383"/>
      <c r="I13" s="379">
        <v>0</v>
      </c>
      <c r="J13" s="56"/>
    </row>
    <row r="14" spans="1:10" s="12" customFormat="1" ht="12.75" customHeight="1">
      <c r="A14" s="376"/>
      <c r="B14" s="376"/>
      <c r="C14" s="380" t="s">
        <v>185</v>
      </c>
      <c r="D14" s="380"/>
      <c r="E14" s="381"/>
      <c r="F14" s="382"/>
      <c r="G14" s="383"/>
      <c r="H14" s="383"/>
      <c r="I14" s="379">
        <v>0</v>
      </c>
      <c r="J14" s="56"/>
    </row>
    <row r="15" spans="1:10" s="12" customFormat="1" ht="12.75" customHeight="1">
      <c r="A15" s="376"/>
      <c r="B15" s="376"/>
      <c r="C15" s="380" t="s">
        <v>186</v>
      </c>
      <c r="D15" s="392"/>
      <c r="E15" s="381"/>
      <c r="F15" s="382"/>
      <c r="G15" s="383"/>
      <c r="H15" s="383"/>
      <c r="I15" s="379">
        <v>0</v>
      </c>
      <c r="J15" s="56"/>
    </row>
    <row r="16" spans="1:10" s="11" customFormat="1" ht="12.75" customHeight="1">
      <c r="A16" s="581"/>
      <c r="B16" s="581"/>
      <c r="C16" s="380" t="s">
        <v>187</v>
      </c>
      <c r="D16" s="392"/>
      <c r="E16" s="381"/>
      <c r="F16" s="382"/>
      <c r="G16" s="383"/>
      <c r="H16" s="383"/>
      <c r="I16" s="379">
        <f>F16*H16</f>
        <v>0</v>
      </c>
      <c r="J16" s="56"/>
    </row>
    <row r="17" spans="1:10" s="11" customFormat="1" ht="12.75" customHeight="1">
      <c r="A17" s="581"/>
      <c r="B17" s="581"/>
      <c r="C17" s="380" t="s">
        <v>188</v>
      </c>
      <c r="D17" s="384"/>
      <c r="E17" s="385"/>
      <c r="F17" s="386"/>
      <c r="G17" s="387"/>
      <c r="H17" s="387"/>
      <c r="I17" s="379">
        <v>0</v>
      </c>
      <c r="J17" s="56"/>
    </row>
    <row r="18" spans="1:10" s="11" customFormat="1" ht="12.75" customHeight="1">
      <c r="A18" s="376"/>
      <c r="B18" s="376"/>
      <c r="C18" s="384" t="s">
        <v>189</v>
      </c>
      <c r="D18" s="384"/>
      <c r="E18" s="385"/>
      <c r="F18" s="386"/>
      <c r="G18" s="387"/>
      <c r="H18" s="387"/>
      <c r="I18" s="379">
        <f>F18*H18</f>
        <v>0</v>
      </c>
      <c r="J18" s="56"/>
    </row>
    <row r="19" spans="1:10" s="11" customFormat="1" ht="12.75" customHeight="1">
      <c r="A19" s="376"/>
      <c r="B19" s="376"/>
      <c r="C19" s="388" t="s">
        <v>190</v>
      </c>
      <c r="D19" s="388"/>
      <c r="E19" s="389"/>
      <c r="F19" s="390"/>
      <c r="G19" s="391"/>
      <c r="H19" s="391"/>
      <c r="I19" s="379">
        <f>F19*H19</f>
        <v>0</v>
      </c>
      <c r="J19" s="56"/>
    </row>
    <row r="20" spans="1:10" s="11" customFormat="1" ht="12.75" customHeight="1">
      <c r="A20" s="376"/>
      <c r="B20" s="376"/>
      <c r="C20" s="393"/>
      <c r="D20" s="375"/>
      <c r="E20" s="209"/>
      <c r="F20" s="394"/>
      <c r="G20" s="395"/>
      <c r="H20" s="395"/>
      <c r="I20" s="396"/>
      <c r="J20" s="56"/>
    </row>
    <row r="21" spans="2:9" s="11" customFormat="1" ht="12.75" customHeight="1">
      <c r="B21" s="7"/>
      <c r="C21" s="54" t="s">
        <v>171</v>
      </c>
      <c r="D21" s="8"/>
      <c r="E21" s="46"/>
      <c r="F21" s="355">
        <v>0</v>
      </c>
      <c r="G21" s="356"/>
      <c r="H21" s="356">
        <v>0</v>
      </c>
      <c r="I21" s="397">
        <f>F21*H21</f>
        <v>0</v>
      </c>
    </row>
    <row r="22" spans="1:10" s="12" customFormat="1" ht="12.75" customHeight="1">
      <c r="A22" s="581"/>
      <c r="B22" s="581"/>
      <c r="C22" s="398"/>
      <c r="D22" s="399"/>
      <c r="E22" s="209"/>
      <c r="F22" s="186"/>
      <c r="G22" s="2"/>
      <c r="H22" s="400"/>
      <c r="I22" s="186"/>
      <c r="J22" s="56"/>
    </row>
    <row r="23" spans="7:10" ht="4.5" customHeight="1">
      <c r="G23" s="347"/>
      <c r="J23" s="238"/>
    </row>
    <row r="24" spans="1:13" s="35" customFormat="1" ht="12.75">
      <c r="A24" s="141" t="s">
        <v>191</v>
      </c>
      <c r="B24" s="142"/>
      <c r="C24" s="143"/>
      <c r="D24" s="143"/>
      <c r="E24" s="145"/>
      <c r="F24" s="144"/>
      <c r="G24" s="144"/>
      <c r="H24" s="144"/>
      <c r="I24" s="215">
        <f>SUM(I7:I22)</f>
        <v>0</v>
      </c>
      <c r="J24" s="39"/>
      <c r="K24" s="90"/>
      <c r="L24" s="91"/>
      <c r="M24" s="92"/>
    </row>
    <row r="25" spans="2:13" s="35" customFormat="1" ht="4.5" customHeight="1">
      <c r="B25" s="36"/>
      <c r="C25" s="37"/>
      <c r="D25" s="37"/>
      <c r="E25" s="73"/>
      <c r="F25" s="74"/>
      <c r="G25" s="102"/>
      <c r="I25" s="216"/>
      <c r="J25" s="39"/>
      <c r="K25" s="39"/>
      <c r="L25" s="93"/>
      <c r="M25" s="94"/>
    </row>
    <row r="26" spans="1:13" s="35" customFormat="1" ht="12.75">
      <c r="A26" s="75" t="s">
        <v>13</v>
      </c>
      <c r="B26" s="36"/>
      <c r="C26" s="37"/>
      <c r="D26" s="37"/>
      <c r="E26" s="83"/>
      <c r="F26" s="338">
        <v>0.04</v>
      </c>
      <c r="G26" s="103"/>
      <c r="H26" s="40"/>
      <c r="I26" s="217">
        <f>ROUND(I24*F26,2)</f>
        <v>0</v>
      </c>
      <c r="J26" s="39"/>
      <c r="K26" s="95"/>
      <c r="L26" s="93"/>
      <c r="M26" s="94"/>
    </row>
    <row r="27" spans="1:13" s="35" customFormat="1" ht="3" customHeight="1">
      <c r="A27" s="76"/>
      <c r="B27" s="77"/>
      <c r="C27" s="78"/>
      <c r="D27" s="78"/>
      <c r="E27" s="85"/>
      <c r="F27" s="339"/>
      <c r="G27" s="104"/>
      <c r="H27" s="76"/>
      <c r="I27" s="218"/>
      <c r="J27" s="39"/>
      <c r="K27" s="39"/>
      <c r="L27" s="93"/>
      <c r="M27" s="94"/>
    </row>
    <row r="28" spans="2:13" s="35" customFormat="1" ht="3" customHeight="1">
      <c r="B28" s="36"/>
      <c r="C28" s="37"/>
      <c r="D28" s="37"/>
      <c r="E28" s="88"/>
      <c r="F28" s="340"/>
      <c r="G28" s="105"/>
      <c r="H28" s="89"/>
      <c r="I28" s="216"/>
      <c r="J28" s="39"/>
      <c r="K28" s="39"/>
      <c r="L28" s="93"/>
      <c r="M28" s="94"/>
    </row>
    <row r="29" spans="1:13" s="35" customFormat="1" ht="12.75">
      <c r="A29" s="141" t="s">
        <v>192</v>
      </c>
      <c r="B29" s="142"/>
      <c r="C29" s="143"/>
      <c r="D29" s="143"/>
      <c r="E29" s="145"/>
      <c r="F29" s="144"/>
      <c r="G29" s="144"/>
      <c r="H29" s="144"/>
      <c r="I29" s="215">
        <f>SUM(I24:I28)</f>
        <v>0</v>
      </c>
      <c r="J29" s="39"/>
      <c r="K29" s="90"/>
      <c r="L29" s="91"/>
      <c r="M29" s="92"/>
    </row>
    <row r="30" spans="1:13" s="193" customFormat="1" ht="4.5" customHeight="1">
      <c r="A30" s="80"/>
      <c r="B30" s="81"/>
      <c r="C30" s="82"/>
      <c r="D30" s="82"/>
      <c r="E30" s="401"/>
      <c r="I30" s="219"/>
      <c r="J30" s="39"/>
      <c r="K30" s="90"/>
      <c r="L30" s="91"/>
      <c r="M30" s="92"/>
    </row>
    <row r="31" spans="1:13" s="35" customFormat="1" ht="12.75">
      <c r="A31" s="35" t="s">
        <v>14</v>
      </c>
      <c r="B31" s="36"/>
      <c r="D31" s="37"/>
      <c r="E31" s="79"/>
      <c r="F31" s="41">
        <v>0.2</v>
      </c>
      <c r="G31" s="41"/>
      <c r="I31" s="220">
        <f>ROUND(I29*F31,2)</f>
        <v>0</v>
      </c>
      <c r="J31" s="39"/>
      <c r="K31" s="39"/>
      <c r="L31" s="93"/>
      <c r="M31" s="99"/>
    </row>
    <row r="32" spans="1:13" s="35" customFormat="1" ht="3" customHeight="1">
      <c r="A32" s="40"/>
      <c r="B32" s="308"/>
      <c r="C32" s="87"/>
      <c r="D32" s="87"/>
      <c r="E32" s="79"/>
      <c r="F32" s="74"/>
      <c r="G32" s="102"/>
      <c r="I32" s="221"/>
      <c r="J32" s="39"/>
      <c r="K32" s="39"/>
      <c r="L32" s="93"/>
      <c r="M32" s="94"/>
    </row>
    <row r="33" spans="1:13" s="40" customFormat="1" ht="12.75">
      <c r="A33" s="296" t="s">
        <v>193</v>
      </c>
      <c r="B33" s="309"/>
      <c r="C33" s="297"/>
      <c r="D33" s="297"/>
      <c r="E33" s="299"/>
      <c r="F33" s="300"/>
      <c r="G33" s="300"/>
      <c r="H33" s="298"/>
      <c r="I33" s="310">
        <f>SUM(I29:I31)</f>
        <v>0</v>
      </c>
      <c r="J33" s="39"/>
      <c r="K33" s="96"/>
      <c r="L33" s="97"/>
      <c r="M33" s="98"/>
    </row>
    <row r="34" spans="1:13" s="35" customFormat="1" ht="3" customHeight="1">
      <c r="A34" s="40"/>
      <c r="B34" s="308"/>
      <c r="C34" s="87"/>
      <c r="D34" s="87"/>
      <c r="E34" s="79"/>
      <c r="F34" s="74"/>
      <c r="G34" s="102"/>
      <c r="I34" s="221"/>
      <c r="J34" s="39"/>
      <c r="K34" s="39"/>
      <c r="L34" s="93"/>
      <c r="M34" s="94"/>
    </row>
  </sheetData>
  <sheetProtection password="D2DC" sheet="1"/>
  <mergeCells count="6">
    <mergeCell ref="H2:I2"/>
    <mergeCell ref="A7:B7"/>
    <mergeCell ref="A8:B8"/>
    <mergeCell ref="A16:B16"/>
    <mergeCell ref="A17:B17"/>
    <mergeCell ref="A22:B22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geOrder="overThenDown" paperSize="9" scale="74" r:id="rId1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>
    <tabColor theme="6" tint="0.7999799847602844"/>
  </sheetPr>
  <dimension ref="A2:Q112"/>
  <sheetViews>
    <sheetView showGridLines="0" view="pageBreakPreview" zoomScaleNormal="85" zoomScaleSheetLayoutView="100" zoomScalePageLayoutView="85" workbookViewId="0" topLeftCell="B1">
      <selection activeCell="R31" sqref="R31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57421875" style="7" customWidth="1"/>
    <col min="4" max="4" width="43.421875" style="8" customWidth="1"/>
    <col min="5" max="5" width="8.421875" style="46" customWidth="1"/>
    <col min="6" max="6" width="4.00390625" style="46" customWidth="1"/>
    <col min="7" max="7" width="8.00390625" style="46" customWidth="1"/>
    <col min="8" max="8" width="4.00390625" style="8" customWidth="1"/>
    <col min="9" max="9" width="8.00390625" style="46" customWidth="1"/>
    <col min="10" max="10" width="4.00390625" style="46" customWidth="1"/>
    <col min="11" max="11" width="8.00390625" style="9" customWidth="1" collapsed="1"/>
    <col min="12" max="12" width="4.00390625" style="9" customWidth="1"/>
    <col min="13" max="13" width="8.00390625" style="10" customWidth="1"/>
    <col min="14" max="14" width="15.421875" style="402" customWidth="1"/>
    <col min="15" max="15" width="5.7109375" style="1" customWidth="1"/>
    <col min="16" max="16384" width="11.57421875" style="1" customWidth="1"/>
  </cols>
  <sheetData>
    <row r="1" ht="4.5" customHeight="1"/>
    <row r="2" spans="3:14" s="60" customFormat="1" ht="34.5" customHeight="1">
      <c r="C2" s="13"/>
      <c r="D2" s="112"/>
      <c r="H2" s="61"/>
      <c r="I2" s="580" t="s">
        <v>194</v>
      </c>
      <c r="J2" s="580"/>
      <c r="K2" s="580"/>
      <c r="L2" s="580"/>
      <c r="M2" s="580"/>
      <c r="N2" s="403"/>
    </row>
    <row r="3" spans="1:14" s="11" customFormat="1" ht="12.75" customHeight="1">
      <c r="A3" s="404" t="s">
        <v>195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6"/>
      <c r="N3" s="407" t="s">
        <v>196</v>
      </c>
    </row>
    <row r="4" spans="1:14" s="11" customFormat="1" ht="12.75" customHeight="1">
      <c r="A4" s="408"/>
      <c r="F4" s="582" t="s">
        <v>197</v>
      </c>
      <c r="G4" s="582"/>
      <c r="H4" s="583" t="s">
        <v>198</v>
      </c>
      <c r="I4" s="583"/>
      <c r="J4" s="582" t="s">
        <v>199</v>
      </c>
      <c r="K4" s="582"/>
      <c r="L4" s="582" t="s">
        <v>200</v>
      </c>
      <c r="M4" s="582"/>
      <c r="N4" s="407"/>
    </row>
    <row r="5" spans="1:14" s="11" customFormat="1" ht="12.75" customHeight="1">
      <c r="A5" s="409"/>
      <c r="B5" s="409"/>
      <c r="C5" s="409"/>
      <c r="D5" s="409"/>
      <c r="E5" s="354" t="s">
        <v>201</v>
      </c>
      <c r="F5" s="584" t="s">
        <v>202</v>
      </c>
      <c r="G5" s="585"/>
      <c r="H5" s="586" t="s">
        <v>203</v>
      </c>
      <c r="I5" s="586"/>
      <c r="J5" s="584" t="s">
        <v>204</v>
      </c>
      <c r="K5" s="585" t="s">
        <v>205</v>
      </c>
      <c r="L5" s="584" t="s">
        <v>206</v>
      </c>
      <c r="M5" s="585" t="s">
        <v>205</v>
      </c>
      <c r="N5" s="407"/>
    </row>
    <row r="6" spans="1:14" s="11" customFormat="1" ht="14.25" customHeight="1">
      <c r="A6" s="409"/>
      <c r="B6" s="409"/>
      <c r="C6" s="409"/>
      <c r="D6" s="409"/>
      <c r="E6" s="410" t="s">
        <v>207</v>
      </c>
      <c r="F6" s="587">
        <v>900</v>
      </c>
      <c r="G6" s="588"/>
      <c r="H6" s="589">
        <v>800</v>
      </c>
      <c r="I6" s="590"/>
      <c r="J6" s="587">
        <f>200+1500+1100+1700+1700</f>
        <v>6200</v>
      </c>
      <c r="K6" s="588">
        <f>5*1120</f>
        <v>5600</v>
      </c>
      <c r="L6" s="587">
        <v>400</v>
      </c>
      <c r="M6" s="588">
        <f>5*1120</f>
        <v>5600</v>
      </c>
      <c r="N6" s="411"/>
    </row>
    <row r="7" spans="1:14" s="11" customFormat="1" ht="4.5" customHeight="1">
      <c r="A7" s="408"/>
      <c r="F7" s="412"/>
      <c r="G7" s="412"/>
      <c r="H7" s="413"/>
      <c r="I7" s="413"/>
      <c r="J7" s="413"/>
      <c r="K7" s="412"/>
      <c r="L7" s="412"/>
      <c r="M7" s="412"/>
      <c r="N7" s="407"/>
    </row>
    <row r="8" spans="1:14" s="11" customFormat="1" ht="12.75" customHeight="1">
      <c r="A8" s="404" t="s">
        <v>208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6"/>
      <c r="N8" s="407" t="s">
        <v>196</v>
      </c>
    </row>
    <row r="9" spans="1:14" s="11" customFormat="1" ht="12.75" customHeight="1">
      <c r="A9" s="354"/>
      <c r="E9" s="354" t="s">
        <v>209</v>
      </c>
      <c r="F9" s="582" t="s">
        <v>210</v>
      </c>
      <c r="G9" s="582"/>
      <c r="H9" s="583"/>
      <c r="I9" s="583" t="s">
        <v>211</v>
      </c>
      <c r="J9" s="582"/>
      <c r="K9" s="582"/>
      <c r="L9" s="582"/>
      <c r="M9" s="582"/>
      <c r="N9" s="50"/>
    </row>
    <row r="10" spans="2:14" s="354" customFormat="1" ht="12.75" customHeight="1">
      <c r="B10" s="414" t="s">
        <v>212</v>
      </c>
      <c r="C10" s="414"/>
      <c r="D10" s="414"/>
      <c r="E10" s="415">
        <v>0.1</v>
      </c>
      <c r="F10" s="591">
        <v>2</v>
      </c>
      <c r="G10" s="591"/>
      <c r="H10" s="416" t="s">
        <v>213</v>
      </c>
      <c r="I10" s="417">
        <f>IF(F10="","",F10*E10)</f>
        <v>0.2</v>
      </c>
      <c r="J10" s="417"/>
      <c r="K10" s="418"/>
      <c r="L10" s="418"/>
      <c r="N10" s="50"/>
    </row>
    <row r="11" spans="2:14" s="354" customFormat="1" ht="12.75" customHeight="1">
      <c r="B11" s="419" t="s">
        <v>214</v>
      </c>
      <c r="C11" s="419"/>
      <c r="D11" s="419"/>
      <c r="E11" s="420">
        <v>0.1</v>
      </c>
      <c r="F11" s="591"/>
      <c r="G11" s="591"/>
      <c r="H11" s="421" t="s">
        <v>213</v>
      </c>
      <c r="I11" s="417">
        <f aca="true" t="shared" si="0" ref="I11:I16">IF(F11="","",F11*E11)</f>
      </c>
      <c r="J11" s="422"/>
      <c r="K11" s="418"/>
      <c r="L11" s="418"/>
      <c r="N11" s="50"/>
    </row>
    <row r="12" spans="2:14" s="354" customFormat="1" ht="12.75" customHeight="1">
      <c r="B12" s="419" t="s">
        <v>215</v>
      </c>
      <c r="C12" s="419"/>
      <c r="D12" s="419"/>
      <c r="E12" s="420">
        <v>0.1</v>
      </c>
      <c r="F12" s="591"/>
      <c r="G12" s="591"/>
      <c r="H12" s="421" t="s">
        <v>213</v>
      </c>
      <c r="I12" s="417">
        <f t="shared" si="0"/>
      </c>
      <c r="J12" s="422"/>
      <c r="K12" s="418"/>
      <c r="L12" s="418"/>
      <c r="N12" s="50"/>
    </row>
    <row r="13" spans="2:14" s="354" customFormat="1" ht="12.75" customHeight="1">
      <c r="B13" s="419" t="s">
        <v>216</v>
      </c>
      <c r="C13" s="419"/>
      <c r="D13" s="419"/>
      <c r="E13" s="420">
        <v>0.1</v>
      </c>
      <c r="F13" s="591"/>
      <c r="G13" s="591"/>
      <c r="H13" s="421" t="s">
        <v>213</v>
      </c>
      <c r="I13" s="417">
        <f t="shared" si="0"/>
      </c>
      <c r="J13" s="422"/>
      <c r="K13" s="418"/>
      <c r="L13" s="418"/>
      <c r="N13" s="50"/>
    </row>
    <row r="14" spans="2:14" s="354" customFormat="1" ht="12.75" customHeight="1">
      <c r="B14" s="419" t="s">
        <v>217</v>
      </c>
      <c r="C14" s="419"/>
      <c r="D14" s="419"/>
      <c r="E14" s="420">
        <v>0.1</v>
      </c>
      <c r="F14" s="591"/>
      <c r="G14" s="591"/>
      <c r="H14" s="421" t="s">
        <v>213</v>
      </c>
      <c r="I14" s="417">
        <f t="shared" si="0"/>
      </c>
      <c r="J14" s="422"/>
      <c r="K14" s="418"/>
      <c r="L14" s="418"/>
      <c r="N14" s="50"/>
    </row>
    <row r="15" spans="2:14" s="354" customFormat="1" ht="12.75" customHeight="1">
      <c r="B15" s="419" t="s">
        <v>218</v>
      </c>
      <c r="C15" s="419"/>
      <c r="D15" s="419"/>
      <c r="E15" s="420">
        <v>0.2</v>
      </c>
      <c r="F15" s="591"/>
      <c r="G15" s="591"/>
      <c r="H15" s="421" t="s">
        <v>213</v>
      </c>
      <c r="I15" s="417">
        <f t="shared" si="0"/>
      </c>
      <c r="J15" s="422"/>
      <c r="K15" s="418"/>
      <c r="L15" s="418"/>
      <c r="N15" s="50"/>
    </row>
    <row r="16" spans="2:14" s="354" customFormat="1" ht="12.75" customHeight="1">
      <c r="B16" s="419" t="s">
        <v>219</v>
      </c>
      <c r="C16" s="419"/>
      <c r="D16" s="419"/>
      <c r="E16" s="420">
        <v>0.3</v>
      </c>
      <c r="F16" s="591"/>
      <c r="G16" s="591"/>
      <c r="H16" s="421" t="s">
        <v>213</v>
      </c>
      <c r="I16" s="417">
        <f t="shared" si="0"/>
      </c>
      <c r="J16" s="422"/>
      <c r="K16" s="418"/>
      <c r="L16" s="418"/>
      <c r="N16" s="50"/>
    </row>
    <row r="17" spans="1:14" ht="3" customHeight="1">
      <c r="A17" s="44"/>
      <c r="B17" s="44"/>
      <c r="C17" s="44"/>
      <c r="D17" s="1"/>
      <c r="E17" s="1"/>
      <c r="F17" s="259"/>
      <c r="G17" s="259"/>
      <c r="H17" s="423"/>
      <c r="I17" s="259"/>
      <c r="J17" s="259"/>
      <c r="K17" s="424"/>
      <c r="L17" s="424"/>
      <c r="N17" s="425"/>
    </row>
    <row r="18" spans="2:14" s="354" customFormat="1" ht="12.75" customHeight="1">
      <c r="B18" s="354" t="s">
        <v>220</v>
      </c>
      <c r="E18" s="331"/>
      <c r="F18" s="426"/>
      <c r="G18" s="426"/>
      <c r="H18" s="427" t="s">
        <v>221</v>
      </c>
      <c r="I18" s="428">
        <f>SUM(I10:I16)</f>
        <v>0.2</v>
      </c>
      <c r="J18" s="428"/>
      <c r="K18" s="418"/>
      <c r="L18" s="418"/>
      <c r="N18" s="50"/>
    </row>
    <row r="19" spans="5:14" s="354" customFormat="1" ht="4.5" customHeight="1">
      <c r="E19" s="429"/>
      <c r="F19" s="430"/>
      <c r="G19" s="430"/>
      <c r="I19" s="431"/>
      <c r="J19" s="431"/>
      <c r="K19" s="418"/>
      <c r="L19" s="418"/>
      <c r="N19" s="50"/>
    </row>
    <row r="20" spans="1:14" s="11" customFormat="1" ht="12.75" customHeight="1">
      <c r="A20" s="404" t="s">
        <v>222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6"/>
      <c r="N20" s="407" t="s">
        <v>223</v>
      </c>
    </row>
    <row r="21" spans="1:14" s="11" customFormat="1" ht="12.75" customHeight="1">
      <c r="A21" s="354"/>
      <c r="F21" s="582" t="s">
        <v>197</v>
      </c>
      <c r="G21" s="582"/>
      <c r="H21" s="583" t="s">
        <v>198</v>
      </c>
      <c r="I21" s="583"/>
      <c r="J21" s="582" t="s">
        <v>199</v>
      </c>
      <c r="K21" s="582"/>
      <c r="L21" s="582" t="s">
        <v>200</v>
      </c>
      <c r="M21" s="582"/>
      <c r="N21" s="50"/>
    </row>
    <row r="22" spans="1:14" s="11" customFormat="1" ht="12.75" customHeight="1">
      <c r="A22" s="354"/>
      <c r="E22" s="354" t="s">
        <v>209</v>
      </c>
      <c r="F22" s="592" t="str">
        <f>IF(F$5="","nicht definiert",F$5)</f>
        <v>Schule UG</v>
      </c>
      <c r="G22" s="593"/>
      <c r="H22" s="594" t="str">
        <f>IF(H$5="","nicht definiert",H$5)</f>
        <v>Technik</v>
      </c>
      <c r="I22" s="594" t="e">
        <f>#REF!</f>
        <v>#REF!</v>
      </c>
      <c r="J22" s="595" t="str">
        <f>IF(J$5="","nicht definiert",J$5)</f>
        <v>Schule</v>
      </c>
      <c r="K22" s="593"/>
      <c r="L22" s="595" t="str">
        <f>IF(L$5="","nicht definiert",L$5)</f>
        <v>Verwaltung</v>
      </c>
      <c r="M22" s="593"/>
      <c r="N22" s="50"/>
    </row>
    <row r="23" spans="1:14" s="11" customFormat="1" ht="3" customHeight="1">
      <c r="A23" s="354"/>
      <c r="E23" s="331"/>
      <c r="F23" s="432"/>
      <c r="G23" s="432"/>
      <c r="H23" s="433"/>
      <c r="I23" s="433"/>
      <c r="J23" s="434"/>
      <c r="K23" s="432"/>
      <c r="L23" s="432"/>
      <c r="M23" s="432"/>
      <c r="N23" s="50"/>
    </row>
    <row r="24" spans="2:14" s="354" customFormat="1" ht="12.75" customHeight="1">
      <c r="B24" s="354" t="s">
        <v>224</v>
      </c>
      <c r="E24" s="415">
        <v>0.6</v>
      </c>
      <c r="F24" s="435"/>
      <c r="G24" s="436">
        <f>IF(F24="x",E24,"")</f>
      </c>
      <c r="H24" s="435"/>
      <c r="I24" s="436">
        <f>IF(H24="x",$E24,"")</f>
      </c>
      <c r="J24" s="435"/>
      <c r="K24" s="436">
        <f>IF(J24="x",$E24,"")</f>
      </c>
      <c r="L24" s="435"/>
      <c r="M24" s="436">
        <f>IF(L24="x",$E24,"")</f>
      </c>
      <c r="N24" s="50"/>
    </row>
    <row r="25" spans="2:14" s="354" customFormat="1" ht="12.75" customHeight="1">
      <c r="B25" s="354" t="s">
        <v>225</v>
      </c>
      <c r="E25" s="420">
        <v>0.8</v>
      </c>
      <c r="F25" s="435"/>
      <c r="G25" s="436">
        <f aca="true" t="shared" si="1" ref="G25:G36">IF(F25="x",E25,"")</f>
      </c>
      <c r="H25" s="435"/>
      <c r="I25" s="436">
        <f aca="true" t="shared" si="2" ref="I25:K36">IF(H25="x",$E25,"")</f>
      </c>
      <c r="J25" s="435"/>
      <c r="K25" s="436">
        <f t="shared" si="2"/>
      </c>
      <c r="L25" s="435"/>
      <c r="M25" s="436">
        <f aca="true" t="shared" si="3" ref="M25:M36">IF(L25="x",$E25,"")</f>
      </c>
      <c r="N25" s="50"/>
    </row>
    <row r="26" spans="2:14" s="354" customFormat="1" ht="12.75" customHeight="1">
      <c r="B26" s="354" t="s">
        <v>226</v>
      </c>
      <c r="E26" s="420">
        <v>1</v>
      </c>
      <c r="F26" s="435"/>
      <c r="G26" s="436">
        <f t="shared" si="1"/>
      </c>
      <c r="H26" s="435" t="s">
        <v>213</v>
      </c>
      <c r="I26" s="436">
        <f t="shared" si="2"/>
        <v>1</v>
      </c>
      <c r="J26" s="435"/>
      <c r="K26" s="436">
        <f t="shared" si="2"/>
      </c>
      <c r="L26" s="435"/>
      <c r="M26" s="436">
        <f t="shared" si="3"/>
      </c>
      <c r="N26" s="50"/>
    </row>
    <row r="27" spans="2:14" s="354" customFormat="1" ht="12.75" customHeight="1">
      <c r="B27" s="354" t="s">
        <v>227</v>
      </c>
      <c r="E27" s="420">
        <v>1</v>
      </c>
      <c r="F27" s="435"/>
      <c r="G27" s="436">
        <f t="shared" si="1"/>
      </c>
      <c r="H27" s="435"/>
      <c r="I27" s="436">
        <f t="shared" si="2"/>
      </c>
      <c r="J27" s="435"/>
      <c r="K27" s="436">
        <f t="shared" si="2"/>
      </c>
      <c r="L27" s="435" t="s">
        <v>213</v>
      </c>
      <c r="M27" s="436">
        <f t="shared" si="3"/>
        <v>1</v>
      </c>
      <c r="N27" s="50"/>
    </row>
    <row r="28" spans="2:14" s="354" customFormat="1" ht="12.75" customHeight="1">
      <c r="B28" s="354" t="s">
        <v>228</v>
      </c>
      <c r="E28" s="420">
        <v>1</v>
      </c>
      <c r="F28" s="435"/>
      <c r="G28" s="436">
        <f t="shared" si="1"/>
      </c>
      <c r="H28" s="435"/>
      <c r="I28" s="436">
        <f t="shared" si="2"/>
      </c>
      <c r="J28" s="435"/>
      <c r="K28" s="436">
        <f t="shared" si="2"/>
      </c>
      <c r="L28" s="435"/>
      <c r="M28" s="436">
        <f t="shared" si="3"/>
      </c>
      <c r="N28" s="50"/>
    </row>
    <row r="29" spans="2:14" s="354" customFormat="1" ht="12.75" customHeight="1">
      <c r="B29" s="354" t="s">
        <v>229</v>
      </c>
      <c r="E29" s="420">
        <v>1.2</v>
      </c>
      <c r="F29" s="435"/>
      <c r="G29" s="436">
        <f t="shared" si="1"/>
      </c>
      <c r="H29" s="435"/>
      <c r="I29" s="436"/>
      <c r="J29" s="435"/>
      <c r="K29" s="436">
        <f t="shared" si="2"/>
      </c>
      <c r="L29" s="435"/>
      <c r="M29" s="436">
        <f t="shared" si="3"/>
      </c>
      <c r="N29" s="50"/>
    </row>
    <row r="30" spans="2:14" s="354" customFormat="1" ht="12.75" customHeight="1">
      <c r="B30" s="354" t="s">
        <v>230</v>
      </c>
      <c r="E30" s="420">
        <v>1.4</v>
      </c>
      <c r="F30" s="435"/>
      <c r="G30" s="436">
        <f t="shared" si="1"/>
      </c>
      <c r="H30" s="435"/>
      <c r="I30" s="436">
        <f t="shared" si="2"/>
      </c>
      <c r="J30" s="435"/>
      <c r="K30" s="436">
        <f t="shared" si="2"/>
      </c>
      <c r="L30" s="435"/>
      <c r="M30" s="436">
        <f t="shared" si="3"/>
      </c>
      <c r="N30" s="50"/>
    </row>
    <row r="31" spans="2:14" s="354" customFormat="1" ht="12.75" customHeight="1">
      <c r="B31" s="354" t="s">
        <v>231</v>
      </c>
      <c r="E31" s="420">
        <v>1.5</v>
      </c>
      <c r="F31" s="435" t="s">
        <v>213</v>
      </c>
      <c r="G31" s="436">
        <f t="shared" si="1"/>
        <v>1.5</v>
      </c>
      <c r="H31" s="435"/>
      <c r="I31" s="436">
        <f t="shared" si="2"/>
      </c>
      <c r="J31" s="435" t="s">
        <v>213</v>
      </c>
      <c r="K31" s="436">
        <f t="shared" si="2"/>
        <v>1.5</v>
      </c>
      <c r="L31" s="435"/>
      <c r="M31" s="436"/>
      <c r="N31" s="50"/>
    </row>
    <row r="32" spans="2:14" s="354" customFormat="1" ht="12.75" customHeight="1">
      <c r="B32" s="354" t="s">
        <v>232</v>
      </c>
      <c r="E32" s="420">
        <v>1.6</v>
      </c>
      <c r="F32" s="435"/>
      <c r="G32" s="436">
        <f t="shared" si="1"/>
      </c>
      <c r="H32" s="435"/>
      <c r="I32" s="436">
        <f t="shared" si="2"/>
      </c>
      <c r="J32" s="435"/>
      <c r="K32" s="436">
        <f t="shared" si="2"/>
      </c>
      <c r="L32" s="435"/>
      <c r="M32" s="436">
        <f t="shared" si="3"/>
      </c>
      <c r="N32" s="50"/>
    </row>
    <row r="33" spans="2:14" s="354" customFormat="1" ht="12.75" customHeight="1">
      <c r="B33" s="354" t="s">
        <v>233</v>
      </c>
      <c r="E33" s="420">
        <v>1.8</v>
      </c>
      <c r="F33" s="435"/>
      <c r="G33" s="436">
        <f t="shared" si="1"/>
      </c>
      <c r="H33" s="435"/>
      <c r="I33" s="436">
        <f t="shared" si="2"/>
      </c>
      <c r="J33" s="435"/>
      <c r="K33" s="436">
        <f t="shared" si="2"/>
      </c>
      <c r="L33" s="435"/>
      <c r="M33" s="436">
        <f t="shared" si="3"/>
      </c>
      <c r="N33" s="50"/>
    </row>
    <row r="34" spans="2:14" s="354" customFormat="1" ht="12.75" customHeight="1">
      <c r="B34" s="354" t="s">
        <v>234</v>
      </c>
      <c r="E34" s="420">
        <v>2</v>
      </c>
      <c r="F34" s="435"/>
      <c r="G34" s="436">
        <f t="shared" si="1"/>
      </c>
      <c r="H34" s="435"/>
      <c r="I34" s="436">
        <f t="shared" si="2"/>
      </c>
      <c r="J34" s="435"/>
      <c r="K34" s="436">
        <f t="shared" si="2"/>
      </c>
      <c r="L34" s="435"/>
      <c r="M34" s="436">
        <f t="shared" si="3"/>
      </c>
      <c r="N34" s="50"/>
    </row>
    <row r="35" spans="2:14" s="354" customFormat="1" ht="12.75" customHeight="1">
      <c r="B35" s="354" t="s">
        <v>235</v>
      </c>
      <c r="E35" s="420">
        <v>2.5</v>
      </c>
      <c r="F35" s="435"/>
      <c r="G35" s="436">
        <f t="shared" si="1"/>
      </c>
      <c r="H35" s="435"/>
      <c r="I35" s="436">
        <f t="shared" si="2"/>
      </c>
      <c r="J35" s="435"/>
      <c r="K35" s="436">
        <f t="shared" si="2"/>
      </c>
      <c r="L35" s="435"/>
      <c r="M35" s="436">
        <f t="shared" si="3"/>
      </c>
      <c r="N35" s="50"/>
    </row>
    <row r="36" spans="2:14" ht="12.75" customHeight="1">
      <c r="B36" s="44" t="s">
        <v>236</v>
      </c>
      <c r="C36" s="1"/>
      <c r="D36" s="261"/>
      <c r="E36" s="420">
        <v>3</v>
      </c>
      <c r="F36" s="435"/>
      <c r="G36" s="436">
        <f t="shared" si="1"/>
      </c>
      <c r="H36" s="435"/>
      <c r="I36" s="436">
        <f t="shared" si="2"/>
      </c>
      <c r="J36" s="435"/>
      <c r="K36" s="436">
        <f t="shared" si="2"/>
      </c>
      <c r="L36" s="435"/>
      <c r="M36" s="436">
        <f t="shared" si="3"/>
      </c>
      <c r="N36" s="437"/>
    </row>
    <row r="37" spans="1:14" ht="1.5" customHeight="1">
      <c r="A37" s="44"/>
      <c r="B37" s="44"/>
      <c r="C37" s="44"/>
      <c r="D37" s="1"/>
      <c r="E37" s="1"/>
      <c r="F37" s="259"/>
      <c r="G37" s="259"/>
      <c r="H37" s="256"/>
      <c r="I37" s="259"/>
      <c r="J37" s="259"/>
      <c r="K37" s="424"/>
      <c r="L37" s="424"/>
      <c r="N37" s="425"/>
    </row>
    <row r="38" spans="2:14" s="354" customFormat="1" ht="12.75" customHeight="1">
      <c r="B38" s="354" t="s">
        <v>237</v>
      </c>
      <c r="E38" s="331"/>
      <c r="F38" s="426" t="s">
        <v>238</v>
      </c>
      <c r="G38" s="438">
        <f>SUM(G24:G37)</f>
        <v>1.5</v>
      </c>
      <c r="H38" s="426" t="s">
        <v>239</v>
      </c>
      <c r="I38" s="438">
        <f>SUM(I24:I37)</f>
        <v>1</v>
      </c>
      <c r="J38" s="426" t="s">
        <v>240</v>
      </c>
      <c r="K38" s="438">
        <f>SUM(K24:K37)</f>
        <v>1.5</v>
      </c>
      <c r="L38" s="426" t="s">
        <v>241</v>
      </c>
      <c r="M38" s="438">
        <f>SUM(M24:M37)</f>
        <v>1</v>
      </c>
      <c r="N38" s="50"/>
    </row>
    <row r="39" spans="2:14" ht="4.5" customHeight="1">
      <c r="B39" s="44"/>
      <c r="C39" s="1"/>
      <c r="D39" s="261"/>
      <c r="E39" s="439"/>
      <c r="F39" s="412"/>
      <c r="G39" s="412"/>
      <c r="H39" s="413"/>
      <c r="I39" s="413"/>
      <c r="J39" s="413"/>
      <c r="K39" s="412"/>
      <c r="L39" s="412"/>
      <c r="M39" s="412"/>
      <c r="N39" s="437"/>
    </row>
    <row r="40" spans="1:14" s="11" customFormat="1" ht="12.75" customHeight="1">
      <c r="A40" s="404" t="s">
        <v>242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6"/>
      <c r="N40" s="407" t="s">
        <v>223</v>
      </c>
    </row>
    <row r="41" spans="1:14" s="11" customFormat="1" ht="12.75" customHeight="1">
      <c r="A41" s="354"/>
      <c r="F41" s="582" t="s">
        <v>197</v>
      </c>
      <c r="G41" s="582"/>
      <c r="H41" s="583" t="s">
        <v>198</v>
      </c>
      <c r="I41" s="583"/>
      <c r="J41" s="582" t="s">
        <v>199</v>
      </c>
      <c r="K41" s="582"/>
      <c r="L41" s="582" t="s">
        <v>200</v>
      </c>
      <c r="M41" s="582"/>
      <c r="N41" s="50"/>
    </row>
    <row r="42" spans="1:14" s="11" customFormat="1" ht="12.75" customHeight="1">
      <c r="A42" s="354"/>
      <c r="E42" s="440" t="s">
        <v>209</v>
      </c>
      <c r="F42" s="592" t="str">
        <f>IF(F$5="","nicht definiert",F$5)</f>
        <v>Schule UG</v>
      </c>
      <c r="G42" s="593"/>
      <c r="H42" s="594" t="str">
        <f>IF(H$5="","nicht definiert",H$5)</f>
        <v>Technik</v>
      </c>
      <c r="I42" s="594" t="e">
        <f>#REF!</f>
        <v>#REF!</v>
      </c>
      <c r="J42" s="595" t="str">
        <f>IF(J$5="","nicht definiert",J$5)</f>
        <v>Schule</v>
      </c>
      <c r="K42" s="593"/>
      <c r="L42" s="595" t="str">
        <f>IF(L$5="","nicht definiert",L$5)</f>
        <v>Verwaltung</v>
      </c>
      <c r="M42" s="593"/>
      <c r="N42" s="50"/>
    </row>
    <row r="43" spans="1:14" s="11" customFormat="1" ht="3" customHeight="1">
      <c r="A43" s="354"/>
      <c r="E43" s="331"/>
      <c r="F43" s="432"/>
      <c r="G43" s="432"/>
      <c r="H43" s="433"/>
      <c r="I43" s="433"/>
      <c r="J43" s="434"/>
      <c r="K43" s="432"/>
      <c r="L43" s="432"/>
      <c r="M43" s="432"/>
      <c r="N43" s="50"/>
    </row>
    <row r="44" spans="2:14" s="354" customFormat="1" ht="12.75" customHeight="1">
      <c r="B44" s="414" t="s">
        <v>243</v>
      </c>
      <c r="C44" s="414"/>
      <c r="D44" s="414"/>
      <c r="E44" s="415">
        <v>0.5</v>
      </c>
      <c r="F44" s="435"/>
      <c r="G44" s="436">
        <f aca="true" t="shared" si="4" ref="G44:G51">IF(F44="x",E44,"")</f>
      </c>
      <c r="H44" s="435"/>
      <c r="I44" s="436">
        <f aca="true" t="shared" si="5" ref="I44:I51">IF(H44="x",$E44,"")</f>
      </c>
      <c r="J44" s="435"/>
      <c r="K44" s="436">
        <f aca="true" t="shared" si="6" ref="K44:K51">IF(J44="x",$E44,"")</f>
      </c>
      <c r="L44" s="435"/>
      <c r="M44" s="436">
        <f aca="true" t="shared" si="7" ref="M44:M51">IF(L44="x",$E44,"")</f>
      </c>
      <c r="N44" s="50"/>
    </row>
    <row r="45" spans="2:14" s="354" customFormat="1" ht="12.75" customHeight="1">
      <c r="B45" s="414" t="s">
        <v>244</v>
      </c>
      <c r="C45" s="414"/>
      <c r="D45" s="414"/>
      <c r="E45" s="415">
        <v>0.1</v>
      </c>
      <c r="F45" s="435" t="s">
        <v>213</v>
      </c>
      <c r="G45" s="436">
        <f t="shared" si="4"/>
        <v>0.1</v>
      </c>
      <c r="H45" s="435" t="s">
        <v>213</v>
      </c>
      <c r="I45" s="436">
        <f t="shared" si="5"/>
        <v>0.1</v>
      </c>
      <c r="J45" s="435"/>
      <c r="K45" s="436">
        <f t="shared" si="6"/>
      </c>
      <c r="L45" s="435"/>
      <c r="M45" s="436">
        <f t="shared" si="7"/>
      </c>
      <c r="N45" s="50"/>
    </row>
    <row r="46" spans="2:14" s="354" customFormat="1" ht="12.75" customHeight="1">
      <c r="B46" s="419" t="s">
        <v>245</v>
      </c>
      <c r="C46" s="419"/>
      <c r="D46" s="419"/>
      <c r="E46" s="420">
        <v>0.2</v>
      </c>
      <c r="F46" s="435" t="s">
        <v>213</v>
      </c>
      <c r="G46" s="436">
        <f t="shared" si="4"/>
        <v>0.2</v>
      </c>
      <c r="H46" s="435" t="s">
        <v>213</v>
      </c>
      <c r="I46" s="436">
        <f t="shared" si="5"/>
        <v>0.2</v>
      </c>
      <c r="J46" s="435" t="s">
        <v>213</v>
      </c>
      <c r="K46" s="436">
        <f t="shared" si="6"/>
        <v>0.2</v>
      </c>
      <c r="L46" s="435"/>
      <c r="M46" s="436">
        <f t="shared" si="7"/>
      </c>
      <c r="N46" s="50"/>
    </row>
    <row r="47" spans="2:14" s="354" customFormat="1" ht="12.75" customHeight="1">
      <c r="B47" s="419" t="s">
        <v>246</v>
      </c>
      <c r="C47" s="419"/>
      <c r="D47" s="419"/>
      <c r="E47" s="420">
        <v>0.2</v>
      </c>
      <c r="F47" s="435"/>
      <c r="G47" s="436">
        <f t="shared" si="4"/>
      </c>
      <c r="H47" s="435"/>
      <c r="I47" s="436">
        <f t="shared" si="5"/>
      </c>
      <c r="J47" s="435" t="s">
        <v>213</v>
      </c>
      <c r="K47" s="436">
        <f t="shared" si="6"/>
        <v>0.2</v>
      </c>
      <c r="L47" s="435" t="s">
        <v>213</v>
      </c>
      <c r="M47" s="436">
        <f t="shared" si="7"/>
        <v>0.2</v>
      </c>
      <c r="N47" s="50"/>
    </row>
    <row r="48" spans="2:14" s="354" customFormat="1" ht="12.75" customHeight="1">
      <c r="B48" s="419" t="s">
        <v>247</v>
      </c>
      <c r="C48" s="419"/>
      <c r="D48" s="419"/>
      <c r="E48" s="420">
        <v>0.2</v>
      </c>
      <c r="F48" s="435"/>
      <c r="G48" s="436">
        <f t="shared" si="4"/>
      </c>
      <c r="H48" s="435"/>
      <c r="I48" s="436">
        <f t="shared" si="5"/>
      </c>
      <c r="J48" s="435"/>
      <c r="K48" s="436">
        <f t="shared" si="6"/>
      </c>
      <c r="L48" s="435"/>
      <c r="M48" s="436">
        <f t="shared" si="7"/>
      </c>
      <c r="N48" s="50"/>
    </row>
    <row r="49" spans="2:14" s="354" customFormat="1" ht="12.75" customHeight="1">
      <c r="B49" s="419" t="s">
        <v>248</v>
      </c>
      <c r="C49" s="419"/>
      <c r="D49" s="419"/>
      <c r="E49" s="420">
        <v>0.2</v>
      </c>
      <c r="F49" s="435"/>
      <c r="G49" s="436">
        <f t="shared" si="4"/>
      </c>
      <c r="H49" s="435"/>
      <c r="I49" s="436">
        <f t="shared" si="5"/>
      </c>
      <c r="J49" s="435"/>
      <c r="K49" s="436">
        <f t="shared" si="6"/>
      </c>
      <c r="L49" s="435"/>
      <c r="M49" s="436">
        <f t="shared" si="7"/>
      </c>
      <c r="N49" s="50"/>
    </row>
    <row r="50" spans="2:14" s="354" customFormat="1" ht="12.75" customHeight="1">
      <c r="B50" s="419" t="s">
        <v>249</v>
      </c>
      <c r="C50" s="419"/>
      <c r="D50" s="419"/>
      <c r="E50" s="420">
        <v>0.2</v>
      </c>
      <c r="F50" s="435"/>
      <c r="G50" s="436">
        <f t="shared" si="4"/>
      </c>
      <c r="H50" s="435"/>
      <c r="I50" s="436">
        <f t="shared" si="5"/>
      </c>
      <c r="J50" s="435"/>
      <c r="K50" s="436">
        <f t="shared" si="6"/>
      </c>
      <c r="L50" s="435"/>
      <c r="M50" s="436">
        <f t="shared" si="7"/>
      </c>
      <c r="N50" s="50"/>
    </row>
    <row r="51" spans="2:14" s="354" customFormat="1" ht="12.75" customHeight="1">
      <c r="B51" s="419" t="s">
        <v>250</v>
      </c>
      <c r="C51" s="419"/>
      <c r="D51" s="419"/>
      <c r="E51" s="420">
        <v>0.3</v>
      </c>
      <c r="F51" s="435"/>
      <c r="G51" s="436">
        <f t="shared" si="4"/>
      </c>
      <c r="H51" s="435"/>
      <c r="I51" s="436">
        <f t="shared" si="5"/>
      </c>
      <c r="J51" s="435"/>
      <c r="K51" s="436">
        <f t="shared" si="6"/>
      </c>
      <c r="L51" s="435"/>
      <c r="M51" s="436">
        <f t="shared" si="7"/>
      </c>
      <c r="N51" s="50"/>
    </row>
    <row r="52" spans="1:14" ht="3" customHeight="1">
      <c r="A52" s="44"/>
      <c r="B52" s="44"/>
      <c r="C52" s="44"/>
      <c r="D52" s="1"/>
      <c r="E52" s="1"/>
      <c r="F52" s="259"/>
      <c r="G52" s="259"/>
      <c r="H52" s="256"/>
      <c r="I52" s="259"/>
      <c r="J52" s="259"/>
      <c r="K52" s="424"/>
      <c r="L52" s="424"/>
      <c r="N52" s="425"/>
    </row>
    <row r="53" spans="2:14" s="354" customFormat="1" ht="12.75" customHeight="1">
      <c r="B53" s="354" t="s">
        <v>251</v>
      </c>
      <c r="E53" s="331"/>
      <c r="F53" s="50" t="s">
        <v>252</v>
      </c>
      <c r="G53" s="438">
        <f>SUM(G44:G52)</f>
        <v>0.3</v>
      </c>
      <c r="H53" s="50" t="s">
        <v>253</v>
      </c>
      <c r="I53" s="438">
        <f>SUM(I44:I52)</f>
        <v>0.3</v>
      </c>
      <c r="J53" s="50" t="s">
        <v>254</v>
      </c>
      <c r="K53" s="438">
        <f>SUM(K44:K52)</f>
        <v>0.4</v>
      </c>
      <c r="L53" s="50" t="s">
        <v>255</v>
      </c>
      <c r="M53" s="438">
        <f>SUM(M44:M52)</f>
        <v>0.2</v>
      </c>
      <c r="N53" s="50"/>
    </row>
    <row r="54" spans="5:14" s="354" customFormat="1" ht="4.5" customHeight="1">
      <c r="E54" s="429"/>
      <c r="F54" s="430"/>
      <c r="G54" s="430"/>
      <c r="I54" s="431"/>
      <c r="J54" s="431"/>
      <c r="K54" s="418"/>
      <c r="L54" s="418"/>
      <c r="N54" s="50"/>
    </row>
    <row r="55" spans="1:14" ht="12.75" customHeight="1">
      <c r="A55" s="441" t="s">
        <v>256</v>
      </c>
      <c r="B55" s="441"/>
      <c r="C55" s="442"/>
      <c r="D55" s="442"/>
      <c r="E55" s="442"/>
      <c r="F55" s="442"/>
      <c r="G55" s="442"/>
      <c r="H55" s="443"/>
      <c r="I55" s="442"/>
      <c r="J55" s="442"/>
      <c r="K55" s="444"/>
      <c r="L55" s="444"/>
      <c r="M55" s="445"/>
      <c r="N55" s="446"/>
    </row>
    <row r="56" spans="1:14" ht="3" customHeight="1">
      <c r="A56" s="263"/>
      <c r="B56" s="263"/>
      <c r="C56" s="263"/>
      <c r="D56" s="263"/>
      <c r="F56" s="8"/>
      <c r="G56" s="8"/>
      <c r="K56" s="1"/>
      <c r="L56" s="1"/>
      <c r="N56" s="446"/>
    </row>
    <row r="57" spans="1:14" ht="14.25" customHeight="1">
      <c r="A57" s="264" t="s">
        <v>257</v>
      </c>
      <c r="B57" s="264"/>
      <c r="C57" s="1"/>
      <c r="F57" s="447" t="s">
        <v>258</v>
      </c>
      <c r="G57" s="448">
        <f>(1+$I$18)*(1+G53)</f>
        <v>1.56</v>
      </c>
      <c r="H57" s="447" t="s">
        <v>259</v>
      </c>
      <c r="I57" s="448">
        <f>(1+$I$18)*(1+I53)</f>
        <v>1.56</v>
      </c>
      <c r="J57" s="447" t="s">
        <v>260</v>
      </c>
      <c r="K57" s="448">
        <f>(1+$I$18)*(1+K53)</f>
        <v>1.68</v>
      </c>
      <c r="L57" s="447" t="s">
        <v>261</v>
      </c>
      <c r="M57" s="448">
        <f>(1+$I$18)*(1+M53)</f>
        <v>1.44</v>
      </c>
      <c r="N57" s="446"/>
    </row>
    <row r="58" spans="1:14" ht="3" customHeight="1">
      <c r="A58" s="44"/>
      <c r="B58" s="44"/>
      <c r="C58" s="44"/>
      <c r="D58" s="1"/>
      <c r="E58" s="1"/>
      <c r="F58" s="259"/>
      <c r="G58" s="259"/>
      <c r="H58" s="256"/>
      <c r="I58" s="259"/>
      <c r="J58" s="259"/>
      <c r="K58" s="424"/>
      <c r="L58" s="424"/>
      <c r="N58" s="425"/>
    </row>
    <row r="59" spans="1:14" ht="15.75" customHeight="1">
      <c r="A59" s="596" t="s">
        <v>262</v>
      </c>
      <c r="B59" s="596"/>
      <c r="C59" s="596"/>
      <c r="D59" s="596"/>
      <c r="E59" s="596"/>
      <c r="F59" s="447" t="s">
        <v>263</v>
      </c>
      <c r="G59" s="449">
        <f>F6*G38*G57</f>
        <v>2106</v>
      </c>
      <c r="H59" s="447" t="s">
        <v>264</v>
      </c>
      <c r="I59" s="449">
        <f>H6*I38*I57</f>
        <v>1248</v>
      </c>
      <c r="J59" s="447" t="s">
        <v>265</v>
      </c>
      <c r="K59" s="449">
        <f>J6*K38*K57</f>
        <v>15624</v>
      </c>
      <c r="L59" s="447" t="s">
        <v>266</v>
      </c>
      <c r="M59" s="449">
        <f>L6*M38*M57</f>
        <v>576</v>
      </c>
      <c r="N59" s="446"/>
    </row>
    <row r="60" spans="1:14" ht="3" customHeight="1">
      <c r="A60" s="44"/>
      <c r="B60" s="44"/>
      <c r="C60" s="44"/>
      <c r="D60" s="1"/>
      <c r="E60" s="1"/>
      <c r="F60" s="259"/>
      <c r="G60" s="259"/>
      <c r="H60" s="450"/>
      <c r="I60" s="259"/>
      <c r="J60" s="259"/>
      <c r="K60" s="424"/>
      <c r="L60" s="424"/>
      <c r="M60" s="65"/>
      <c r="N60" s="425"/>
    </row>
    <row r="61" spans="1:14" ht="15.75" customHeight="1">
      <c r="A61" s="596" t="s">
        <v>267</v>
      </c>
      <c r="B61" s="596"/>
      <c r="C61" s="596"/>
      <c r="D61" s="596"/>
      <c r="E61" s="596"/>
      <c r="F61" s="597">
        <f>G59+I59+K59+M59</f>
        <v>19554</v>
      </c>
      <c r="G61" s="597"/>
      <c r="H61" s="597"/>
      <c r="I61" s="597"/>
      <c r="J61" s="597"/>
      <c r="K61" s="597"/>
      <c r="L61" s="597"/>
      <c r="M61" s="597"/>
      <c r="N61" s="446"/>
    </row>
    <row r="62" spans="1:14" ht="3" customHeight="1">
      <c r="A62" s="44"/>
      <c r="B62" s="44"/>
      <c r="C62" s="44"/>
      <c r="D62" s="1"/>
      <c r="E62" s="1"/>
      <c r="F62" s="259"/>
      <c r="G62" s="259"/>
      <c r="H62" s="450"/>
      <c r="I62" s="259"/>
      <c r="J62" s="259"/>
      <c r="K62" s="424"/>
      <c r="L62" s="424"/>
      <c r="M62" s="65"/>
      <c r="N62" s="425"/>
    </row>
    <row r="63" spans="1:14" ht="15.75" customHeight="1">
      <c r="A63" s="596" t="s">
        <v>268</v>
      </c>
      <c r="B63" s="596"/>
      <c r="C63" s="596"/>
      <c r="D63" s="596"/>
      <c r="E63" s="596"/>
      <c r="F63" s="598">
        <f>2300+130*F61^0.61</f>
        <v>56201</v>
      </c>
      <c r="G63" s="598"/>
      <c r="H63" s="598"/>
      <c r="I63" s="598"/>
      <c r="J63" s="598"/>
      <c r="K63" s="598"/>
      <c r="L63" s="598"/>
      <c r="M63" s="598"/>
      <c r="N63" s="446"/>
    </row>
    <row r="64" spans="1:14" ht="3" customHeight="1">
      <c r="A64" s="43"/>
      <c r="B64" s="44"/>
      <c r="C64" s="44"/>
      <c r="D64" s="269"/>
      <c r="E64" s="269"/>
      <c r="F64" s="269"/>
      <c r="G64" s="269"/>
      <c r="H64" s="270"/>
      <c r="I64" s="270"/>
      <c r="J64" s="270"/>
      <c r="K64" s="63"/>
      <c r="L64" s="63"/>
      <c r="M64" s="45"/>
      <c r="N64" s="446"/>
    </row>
    <row r="65" spans="1:14" ht="12.75" customHeight="1">
      <c r="A65" s="451" t="s">
        <v>269</v>
      </c>
      <c r="B65" s="452"/>
      <c r="C65" s="452"/>
      <c r="D65" s="453"/>
      <c r="E65" s="453"/>
      <c r="F65" s="453"/>
      <c r="G65" s="453"/>
      <c r="H65" s="454"/>
      <c r="I65" s="454"/>
      <c r="J65" s="454"/>
      <c r="K65" s="455"/>
      <c r="L65" s="455"/>
      <c r="M65" s="456"/>
      <c r="N65" s="446"/>
    </row>
    <row r="66" spans="1:14" ht="3" customHeight="1">
      <c r="A66" s="457"/>
      <c r="B66" s="44"/>
      <c r="C66" s="44"/>
      <c r="D66" s="269"/>
      <c r="E66" s="269"/>
      <c r="F66" s="269"/>
      <c r="G66" s="269"/>
      <c r="H66" s="270"/>
      <c r="I66" s="270"/>
      <c r="J66" s="270"/>
      <c r="K66" s="63"/>
      <c r="L66" s="63"/>
      <c r="M66" s="45"/>
      <c r="N66" s="446"/>
    </row>
    <row r="67" spans="1:14" ht="12.75" customHeight="1">
      <c r="A67" s="271" t="s">
        <v>270</v>
      </c>
      <c r="B67" s="271"/>
      <c r="C67" s="272"/>
      <c r="D67" s="1"/>
      <c r="F67" s="458"/>
      <c r="G67" s="458">
        <v>0.01</v>
      </c>
      <c r="H67" s="599">
        <v>0.01</v>
      </c>
      <c r="I67" s="599"/>
      <c r="J67" s="1"/>
      <c r="K67" s="274">
        <v>1</v>
      </c>
      <c r="L67" s="600">
        <f aca="true" t="shared" si="8" ref="L67:L79">IF($F$63=0,"-",$F$63*H67)</f>
        <v>562</v>
      </c>
      <c r="M67" s="600"/>
      <c r="N67" s="437"/>
    </row>
    <row r="68" spans="1:14" ht="12.75" customHeight="1">
      <c r="A68" s="271" t="s">
        <v>271</v>
      </c>
      <c r="B68" s="271"/>
      <c r="C68" s="272"/>
      <c r="D68" s="1"/>
      <c r="F68" s="458"/>
      <c r="G68" s="458">
        <v>0.15</v>
      </c>
      <c r="H68" s="599">
        <v>0.15</v>
      </c>
      <c r="I68" s="599"/>
      <c r="J68" s="1"/>
      <c r="K68" s="274">
        <v>2</v>
      </c>
      <c r="L68" s="600">
        <f t="shared" si="8"/>
        <v>8430</v>
      </c>
      <c r="M68" s="600"/>
      <c r="N68" s="437"/>
    </row>
    <row r="69" spans="1:14" ht="12.75" customHeight="1">
      <c r="A69" s="271" t="s">
        <v>37</v>
      </c>
      <c r="B69" s="271"/>
      <c r="C69" s="272"/>
      <c r="D69" s="1"/>
      <c r="F69" s="458"/>
      <c r="G69" s="458">
        <v>0.19</v>
      </c>
      <c r="H69" s="599">
        <v>0.19</v>
      </c>
      <c r="I69" s="599"/>
      <c r="J69" s="1"/>
      <c r="K69" s="274">
        <v>3</v>
      </c>
      <c r="L69" s="600">
        <f t="shared" si="8"/>
        <v>10678</v>
      </c>
      <c r="M69" s="600"/>
      <c r="N69" s="437"/>
    </row>
    <row r="70" spans="1:14" ht="12.75" customHeight="1">
      <c r="A70" s="271" t="s">
        <v>272</v>
      </c>
      <c r="B70" s="271"/>
      <c r="C70" s="272"/>
      <c r="D70" s="1"/>
      <c r="F70" s="458"/>
      <c r="G70" s="458">
        <v>0.15</v>
      </c>
      <c r="H70" s="599">
        <v>0.15</v>
      </c>
      <c r="I70" s="599"/>
      <c r="J70" s="1"/>
      <c r="K70" s="274">
        <v>4</v>
      </c>
      <c r="L70" s="600">
        <f t="shared" si="8"/>
        <v>8430</v>
      </c>
      <c r="M70" s="600"/>
      <c r="N70" s="437"/>
    </row>
    <row r="71" spans="1:14" ht="12.75" customHeight="1">
      <c r="A71" s="271" t="s">
        <v>39</v>
      </c>
      <c r="B71" s="271"/>
      <c r="C71" s="272"/>
      <c r="D71" s="1"/>
      <c r="F71" s="458"/>
      <c r="G71" s="458">
        <v>0.18</v>
      </c>
      <c r="H71" s="599">
        <v>0.18</v>
      </c>
      <c r="I71" s="599"/>
      <c r="J71" s="1"/>
      <c r="K71" s="274">
        <v>5</v>
      </c>
      <c r="L71" s="600">
        <f t="shared" si="8"/>
        <v>10116</v>
      </c>
      <c r="M71" s="600"/>
      <c r="N71" s="437"/>
    </row>
    <row r="72" spans="1:14" ht="12.75" customHeight="1">
      <c r="A72" s="271" t="s">
        <v>273</v>
      </c>
      <c r="B72" s="271"/>
      <c r="C72" s="272"/>
      <c r="D72" s="1"/>
      <c r="F72" s="458"/>
      <c r="G72" s="458">
        <v>0</v>
      </c>
      <c r="H72" s="599">
        <v>0</v>
      </c>
      <c r="I72" s="599"/>
      <c r="J72" s="1"/>
      <c r="K72" s="274">
        <v>6</v>
      </c>
      <c r="L72" s="600">
        <f t="shared" si="8"/>
        <v>0</v>
      </c>
      <c r="M72" s="600"/>
      <c r="N72" s="437"/>
    </row>
    <row r="73" spans="1:14" ht="12.75" customHeight="1">
      <c r="A73" s="271" t="s">
        <v>41</v>
      </c>
      <c r="B73" s="271"/>
      <c r="C73" s="272"/>
      <c r="D73" s="1"/>
      <c r="F73" s="458"/>
      <c r="G73" s="458">
        <v>0</v>
      </c>
      <c r="H73" s="599">
        <v>0</v>
      </c>
      <c r="I73" s="599"/>
      <c r="J73" s="1"/>
      <c r="K73" s="274"/>
      <c r="L73" s="600">
        <f t="shared" si="8"/>
        <v>0</v>
      </c>
      <c r="M73" s="600"/>
      <c r="N73" s="437"/>
    </row>
    <row r="74" spans="1:14" ht="12.75" customHeight="1">
      <c r="A74" s="271" t="s">
        <v>274</v>
      </c>
      <c r="B74" s="271"/>
      <c r="C74" s="272"/>
      <c r="D74" s="1"/>
      <c r="F74" s="458"/>
      <c r="G74" s="458">
        <v>0</v>
      </c>
      <c r="H74" s="599">
        <v>0</v>
      </c>
      <c r="I74" s="599"/>
      <c r="J74" s="1"/>
      <c r="K74" s="274">
        <v>7</v>
      </c>
      <c r="L74" s="600">
        <f t="shared" si="8"/>
        <v>0</v>
      </c>
      <c r="M74" s="600"/>
      <c r="N74" s="437"/>
    </row>
    <row r="75" spans="1:14" ht="12.75" customHeight="1">
      <c r="A75" s="251" t="s">
        <v>275</v>
      </c>
      <c r="B75" s="251"/>
      <c r="C75" s="272"/>
      <c r="D75" s="1"/>
      <c r="F75" s="458"/>
      <c r="G75" s="458">
        <v>0.32</v>
      </c>
      <c r="H75" s="599">
        <v>0.32</v>
      </c>
      <c r="I75" s="599"/>
      <c r="J75" s="1"/>
      <c r="K75" s="274">
        <v>8</v>
      </c>
      <c r="L75" s="600">
        <f t="shared" si="8"/>
        <v>17984</v>
      </c>
      <c r="M75" s="600"/>
      <c r="N75" s="437"/>
    </row>
    <row r="76" spans="1:14" ht="12.75" customHeight="1">
      <c r="A76" s="459" t="s">
        <v>56</v>
      </c>
      <c r="B76" s="459"/>
      <c r="C76" s="460"/>
      <c r="D76" s="1"/>
      <c r="F76" s="458"/>
      <c r="G76" s="458">
        <v>0</v>
      </c>
      <c r="H76" s="599">
        <v>0</v>
      </c>
      <c r="I76" s="599"/>
      <c r="J76" s="1"/>
      <c r="K76" s="461">
        <v>9</v>
      </c>
      <c r="L76" s="600">
        <f t="shared" si="8"/>
        <v>0</v>
      </c>
      <c r="M76" s="600"/>
      <c r="N76" s="437"/>
    </row>
    <row r="77" spans="1:16" s="464" customFormat="1" ht="12.75" customHeight="1">
      <c r="A77" s="462" t="s">
        <v>276</v>
      </c>
      <c r="B77" s="462"/>
      <c r="C77" s="463"/>
      <c r="F77" s="458"/>
      <c r="G77" s="458"/>
      <c r="H77" s="599">
        <v>0</v>
      </c>
      <c r="I77" s="599"/>
      <c r="J77" s="465"/>
      <c r="L77" s="600">
        <f t="shared" si="8"/>
        <v>0</v>
      </c>
      <c r="M77" s="600"/>
      <c r="N77" s="466"/>
      <c r="O77" s="467"/>
      <c r="P77" s="467"/>
    </row>
    <row r="78" spans="1:16" s="464" customFormat="1" ht="12.75" customHeight="1">
      <c r="A78" s="462" t="s">
        <v>276</v>
      </c>
      <c r="B78" s="462"/>
      <c r="C78" s="463"/>
      <c r="F78" s="458"/>
      <c r="G78" s="458"/>
      <c r="H78" s="599">
        <v>0</v>
      </c>
      <c r="I78" s="599"/>
      <c r="J78" s="465"/>
      <c r="L78" s="600">
        <f t="shared" si="8"/>
        <v>0</v>
      </c>
      <c r="M78" s="600"/>
      <c r="N78" s="466"/>
      <c r="O78" s="467"/>
      <c r="P78" s="467"/>
    </row>
    <row r="79" spans="1:16" s="464" customFormat="1" ht="12.75" customHeight="1">
      <c r="A79" s="468" t="s">
        <v>276</v>
      </c>
      <c r="B79" s="468"/>
      <c r="C79" s="469"/>
      <c r="D79" s="470"/>
      <c r="E79" s="470"/>
      <c r="F79" s="471"/>
      <c r="G79" s="471"/>
      <c r="H79" s="601">
        <v>0</v>
      </c>
      <c r="I79" s="601"/>
      <c r="J79" s="472"/>
      <c r="K79" s="473"/>
      <c r="L79" s="602">
        <f t="shared" si="8"/>
        <v>0</v>
      </c>
      <c r="M79" s="602"/>
      <c r="N79" s="466"/>
      <c r="O79" s="467"/>
      <c r="P79" s="467"/>
    </row>
    <row r="80" spans="1:14" ht="15" customHeight="1">
      <c r="A80" s="280" t="s">
        <v>277</v>
      </c>
      <c r="B80" s="251"/>
      <c r="C80" s="30"/>
      <c r="D80" s="1"/>
      <c r="F80" s="603">
        <f>SUM(G67:G76)</f>
        <v>1</v>
      </c>
      <c r="G80" s="603"/>
      <c r="H80" s="604">
        <f>SUM(H67:H79)</f>
        <v>1</v>
      </c>
      <c r="I80" s="604"/>
      <c r="K80" s="1"/>
      <c r="L80" s="600">
        <f>SUM(L67:L79)</f>
        <v>56200</v>
      </c>
      <c r="M80" s="600"/>
      <c r="N80" s="437"/>
    </row>
    <row r="81" spans="8:14" ht="4.5" customHeight="1">
      <c r="H81" s="347"/>
      <c r="K81" s="1"/>
      <c r="L81" s="1"/>
      <c r="M81" s="238"/>
      <c r="N81" s="474"/>
    </row>
    <row r="82" spans="1:14" ht="12.75" customHeight="1">
      <c r="A82" s="475" t="s">
        <v>176</v>
      </c>
      <c r="B82" s="476"/>
      <c r="C82" s="476"/>
      <c r="D82" s="443"/>
      <c r="E82" s="443"/>
      <c r="F82" s="443"/>
      <c r="G82" s="443"/>
      <c r="H82" s="477"/>
      <c r="I82" s="443"/>
      <c r="J82" s="443"/>
      <c r="K82" s="444"/>
      <c r="L82" s="443"/>
      <c r="M82" s="478"/>
      <c r="N82" s="437"/>
    </row>
    <row r="83" spans="1:16" ht="3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"/>
      <c r="L83" s="2"/>
      <c r="M83" s="2"/>
      <c r="N83" s="437"/>
      <c r="O83" s="11"/>
      <c r="P83" s="11"/>
    </row>
    <row r="84" spans="1:14" ht="12.75" customHeight="1">
      <c r="A84" s="596" t="s">
        <v>278</v>
      </c>
      <c r="B84" s="596"/>
      <c r="C84" s="596"/>
      <c r="D84" s="596"/>
      <c r="E84" s="596"/>
      <c r="H84" s="347"/>
      <c r="K84" s="1"/>
      <c r="L84" s="605">
        <f>L80</f>
        <v>56200</v>
      </c>
      <c r="M84" s="605"/>
      <c r="N84" s="437"/>
    </row>
    <row r="85" spans="1:17" ht="12.75" customHeight="1">
      <c r="A85" s="54" t="s">
        <v>171</v>
      </c>
      <c r="F85" s="606">
        <v>0</v>
      </c>
      <c r="G85" s="606"/>
      <c r="H85" s="479"/>
      <c r="I85" s="607">
        <v>0</v>
      </c>
      <c r="J85" s="607"/>
      <c r="K85" s="1"/>
      <c r="L85" s="605">
        <f>F85*I85</f>
        <v>0</v>
      </c>
      <c r="M85" s="605"/>
      <c r="N85" s="437"/>
      <c r="O85" s="49"/>
      <c r="P85" s="49"/>
      <c r="Q85" s="49"/>
    </row>
    <row r="86" spans="1:16" ht="3" customHeight="1">
      <c r="A86" s="11"/>
      <c r="B86" s="11"/>
      <c r="C86" s="11"/>
      <c r="D86" s="11"/>
      <c r="E86" s="11"/>
      <c r="F86" s="480"/>
      <c r="G86" s="480"/>
      <c r="H86" s="11"/>
      <c r="I86" s="11"/>
      <c r="J86" s="11"/>
      <c r="K86" s="1"/>
      <c r="L86" s="605"/>
      <c r="M86" s="605"/>
      <c r="N86" s="437"/>
      <c r="O86" s="11"/>
      <c r="P86" s="11"/>
    </row>
    <row r="87" spans="1:14" s="35" customFormat="1" ht="12.75">
      <c r="A87" s="141" t="s">
        <v>191</v>
      </c>
      <c r="B87" s="142"/>
      <c r="C87" s="143"/>
      <c r="D87" s="143"/>
      <c r="E87" s="144"/>
      <c r="F87" s="481"/>
      <c r="G87" s="481"/>
      <c r="H87" s="348"/>
      <c r="I87" s="144"/>
      <c r="J87" s="144"/>
      <c r="K87" s="144"/>
      <c r="L87" s="608">
        <f>L84+L85</f>
        <v>56200</v>
      </c>
      <c r="M87" s="608"/>
      <c r="N87" s="482"/>
    </row>
    <row r="88" spans="2:14" s="35" customFormat="1" ht="3" customHeight="1">
      <c r="B88" s="36"/>
      <c r="C88" s="37"/>
      <c r="D88" s="37"/>
      <c r="E88" s="72"/>
      <c r="F88" s="483"/>
      <c r="G88" s="483"/>
      <c r="H88" s="341"/>
      <c r="I88" s="102"/>
      <c r="J88" s="102"/>
      <c r="L88" s="605"/>
      <c r="M88" s="605"/>
      <c r="N88" s="482"/>
    </row>
    <row r="89" spans="1:14" s="35" customFormat="1" ht="12.75">
      <c r="A89" s="75" t="s">
        <v>13</v>
      </c>
      <c r="B89" s="36"/>
      <c r="C89" s="37"/>
      <c r="D89" s="37"/>
      <c r="E89" s="83"/>
      <c r="F89" s="609">
        <v>0.04</v>
      </c>
      <c r="G89" s="609"/>
      <c r="I89" s="103"/>
      <c r="J89" s="103"/>
      <c r="L89" s="605">
        <f>ROUND(L87*F89,2)</f>
        <v>2248</v>
      </c>
      <c r="M89" s="605"/>
      <c r="N89" s="482"/>
    </row>
    <row r="90" spans="1:14" s="35" customFormat="1" ht="3" customHeight="1">
      <c r="A90" s="76"/>
      <c r="B90" s="77"/>
      <c r="C90" s="78"/>
      <c r="D90" s="78"/>
      <c r="E90" s="85"/>
      <c r="F90" s="484"/>
      <c r="G90" s="484"/>
      <c r="H90" s="76"/>
      <c r="I90" s="104"/>
      <c r="J90" s="104"/>
      <c r="K90" s="104"/>
      <c r="L90" s="104"/>
      <c r="M90" s="104"/>
      <c r="N90" s="482"/>
    </row>
    <row r="91" spans="2:14" s="35" customFormat="1" ht="3" customHeight="1">
      <c r="B91" s="36"/>
      <c r="C91" s="37"/>
      <c r="D91" s="37"/>
      <c r="E91" s="79"/>
      <c r="F91" s="485"/>
      <c r="G91" s="485"/>
      <c r="I91" s="102"/>
      <c r="J91" s="102"/>
      <c r="L91" s="605"/>
      <c r="M91" s="605"/>
      <c r="N91" s="482"/>
    </row>
    <row r="92" spans="1:14" s="35" customFormat="1" ht="12.75">
      <c r="A92" s="141" t="s">
        <v>279</v>
      </c>
      <c r="B92" s="142"/>
      <c r="C92" s="143"/>
      <c r="D92" s="143"/>
      <c r="E92" s="486"/>
      <c r="F92" s="487"/>
      <c r="G92" s="487"/>
      <c r="H92" s="144"/>
      <c r="I92" s="488"/>
      <c r="J92" s="488"/>
      <c r="K92" s="144"/>
      <c r="L92" s="608">
        <f>L87+L89</f>
        <v>58448</v>
      </c>
      <c r="M92" s="608"/>
      <c r="N92" s="482"/>
    </row>
    <row r="93" spans="1:14" s="193" customFormat="1" ht="3" customHeight="1">
      <c r="A93" s="80"/>
      <c r="B93" s="81"/>
      <c r="C93" s="82"/>
      <c r="D93" s="82"/>
      <c r="E93" s="38"/>
      <c r="F93" s="99"/>
      <c r="G93" s="99"/>
      <c r="I93" s="103"/>
      <c r="J93" s="103"/>
      <c r="L93" s="605"/>
      <c r="M93" s="605"/>
      <c r="N93" s="489"/>
    </row>
    <row r="94" spans="1:14" s="35" customFormat="1" ht="12.75">
      <c r="A94" s="35" t="s">
        <v>280</v>
      </c>
      <c r="B94" s="36"/>
      <c r="D94" s="37"/>
      <c r="E94" s="79"/>
      <c r="F94" s="609">
        <v>0</v>
      </c>
      <c r="G94" s="609"/>
      <c r="I94" s="41"/>
      <c r="J94" s="41"/>
      <c r="L94" s="605">
        <f>ROUND(L92*F94,2)</f>
        <v>0</v>
      </c>
      <c r="M94" s="605"/>
      <c r="N94" s="482"/>
    </row>
    <row r="95" spans="1:14" s="35" customFormat="1" ht="3" customHeight="1">
      <c r="A95" s="40"/>
      <c r="B95" s="308"/>
      <c r="C95" s="87"/>
      <c r="D95" s="87"/>
      <c r="E95" s="79"/>
      <c r="F95" s="490"/>
      <c r="G95" s="490"/>
      <c r="I95" s="102"/>
      <c r="J95" s="102"/>
      <c r="L95" s="605"/>
      <c r="M95" s="605"/>
      <c r="N95" s="482"/>
    </row>
    <row r="96" spans="1:14" s="35" customFormat="1" ht="3" customHeight="1">
      <c r="A96" s="76"/>
      <c r="B96" s="77"/>
      <c r="C96" s="78"/>
      <c r="D96" s="78"/>
      <c r="E96" s="85"/>
      <c r="F96" s="484"/>
      <c r="G96" s="484"/>
      <c r="H96" s="76"/>
      <c r="I96" s="104"/>
      <c r="J96" s="104"/>
      <c r="K96" s="104"/>
      <c r="L96" s="104"/>
      <c r="M96" s="104"/>
      <c r="N96" s="482"/>
    </row>
    <row r="97" spans="2:14" s="35" customFormat="1" ht="3" customHeight="1">
      <c r="B97" s="36"/>
      <c r="C97" s="37"/>
      <c r="D97" s="37"/>
      <c r="E97" s="79"/>
      <c r="F97" s="485"/>
      <c r="G97" s="485"/>
      <c r="I97" s="102"/>
      <c r="J97" s="102"/>
      <c r="L97" s="605"/>
      <c r="M97" s="605"/>
      <c r="N97" s="482"/>
    </row>
    <row r="98" spans="1:14" s="35" customFormat="1" ht="12.75">
      <c r="A98" s="141" t="s">
        <v>281</v>
      </c>
      <c r="B98" s="142"/>
      <c r="C98" s="143"/>
      <c r="D98" s="143"/>
      <c r="E98" s="486"/>
      <c r="F98" s="487"/>
      <c r="G98" s="487"/>
      <c r="H98" s="144"/>
      <c r="I98" s="488"/>
      <c r="J98" s="488"/>
      <c r="K98" s="144"/>
      <c r="L98" s="608">
        <f>L87+L89</f>
        <v>58448</v>
      </c>
      <c r="M98" s="608"/>
      <c r="N98" s="482"/>
    </row>
    <row r="99" spans="1:16" s="193" customFormat="1" ht="3" customHeight="1">
      <c r="A99" s="80"/>
      <c r="B99" s="81"/>
      <c r="C99" s="82"/>
      <c r="D99" s="82"/>
      <c r="E99" s="401"/>
      <c r="F99" s="491"/>
      <c r="G99" s="491"/>
      <c r="L99" s="605"/>
      <c r="M99" s="605"/>
      <c r="N99" s="489"/>
      <c r="O99" s="91"/>
      <c r="P99" s="92"/>
    </row>
    <row r="100" spans="1:14" s="35" customFormat="1" ht="12.75">
      <c r="A100" s="35" t="s">
        <v>14</v>
      </c>
      <c r="B100" s="36"/>
      <c r="D100" s="37"/>
      <c r="E100" s="79"/>
      <c r="F100" s="610">
        <v>0.2</v>
      </c>
      <c r="G100" s="610"/>
      <c r="I100" s="41"/>
      <c r="J100" s="41"/>
      <c r="L100" s="605">
        <f>ROUND(L98*F100,2)</f>
        <v>11690</v>
      </c>
      <c r="M100" s="605"/>
      <c r="N100" s="482"/>
    </row>
    <row r="101" spans="1:14" s="35" customFormat="1" ht="3" customHeight="1">
      <c r="A101" s="40"/>
      <c r="B101" s="308"/>
      <c r="C101" s="87"/>
      <c r="D101" s="87"/>
      <c r="E101" s="79"/>
      <c r="F101" s="74"/>
      <c r="G101" s="74"/>
      <c r="I101" s="102"/>
      <c r="J101" s="102"/>
      <c r="L101" s="605"/>
      <c r="M101" s="605"/>
      <c r="N101" s="482"/>
    </row>
    <row r="102" spans="1:14" s="40" customFormat="1" ht="12.75">
      <c r="A102" s="296" t="s">
        <v>193</v>
      </c>
      <c r="B102" s="309"/>
      <c r="C102" s="297"/>
      <c r="D102" s="297"/>
      <c r="E102" s="298"/>
      <c r="F102" s="300"/>
      <c r="G102" s="300"/>
      <c r="H102" s="300"/>
      <c r="I102" s="300"/>
      <c r="J102" s="300"/>
      <c r="K102" s="492"/>
      <c r="L102" s="611">
        <f>SUM(L98:L100)</f>
        <v>70138</v>
      </c>
      <c r="M102" s="611"/>
      <c r="N102" s="493"/>
    </row>
    <row r="103" spans="6:7" ht="4.5" customHeight="1">
      <c r="F103" s="8"/>
      <c r="G103" s="8"/>
    </row>
    <row r="104" spans="1:14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494"/>
    </row>
    <row r="105" spans="1:14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494"/>
    </row>
    <row r="106" spans="1:14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494"/>
    </row>
    <row r="107" spans="1:14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494"/>
    </row>
    <row r="108" spans="1:14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494"/>
    </row>
    <row r="109" spans="1:14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494"/>
    </row>
    <row r="110" spans="1:14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494"/>
    </row>
    <row r="111" spans="1:14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494"/>
    </row>
    <row r="112" spans="1:14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494"/>
    </row>
  </sheetData>
  <sheetProtection password="D2DC" sheet="1"/>
  <mergeCells count="97">
    <mergeCell ref="L98:M98"/>
    <mergeCell ref="L99:M99"/>
    <mergeCell ref="F100:G100"/>
    <mergeCell ref="L100:M100"/>
    <mergeCell ref="L101:M101"/>
    <mergeCell ref="L102:M102"/>
    <mergeCell ref="L92:M92"/>
    <mergeCell ref="L93:M93"/>
    <mergeCell ref="F94:G94"/>
    <mergeCell ref="L94:M94"/>
    <mergeCell ref="L95:M95"/>
    <mergeCell ref="L97:M97"/>
    <mergeCell ref="L86:M86"/>
    <mergeCell ref="L87:M87"/>
    <mergeCell ref="L88:M88"/>
    <mergeCell ref="F89:G89"/>
    <mergeCell ref="L89:M89"/>
    <mergeCell ref="L91:M91"/>
    <mergeCell ref="F80:G80"/>
    <mergeCell ref="H80:I80"/>
    <mergeCell ref="L80:M80"/>
    <mergeCell ref="A84:E84"/>
    <mergeCell ref="L84:M84"/>
    <mergeCell ref="F85:G85"/>
    <mergeCell ref="I85:J85"/>
    <mergeCell ref="L85:M85"/>
    <mergeCell ref="H77:I77"/>
    <mergeCell ref="L77:M77"/>
    <mergeCell ref="H78:I78"/>
    <mergeCell ref="L78:M78"/>
    <mergeCell ref="H79:I79"/>
    <mergeCell ref="L79:M79"/>
    <mergeCell ref="H74:I74"/>
    <mergeCell ref="L74:M74"/>
    <mergeCell ref="H75:I75"/>
    <mergeCell ref="L75:M75"/>
    <mergeCell ref="H76:I76"/>
    <mergeCell ref="L76:M76"/>
    <mergeCell ref="H71:I71"/>
    <mergeCell ref="L71:M71"/>
    <mergeCell ref="H72:I72"/>
    <mergeCell ref="L72:M72"/>
    <mergeCell ref="H73:I73"/>
    <mergeCell ref="L73:M73"/>
    <mergeCell ref="H68:I68"/>
    <mergeCell ref="L68:M68"/>
    <mergeCell ref="H69:I69"/>
    <mergeCell ref="L69:M69"/>
    <mergeCell ref="H70:I70"/>
    <mergeCell ref="L70:M70"/>
    <mergeCell ref="A59:E59"/>
    <mergeCell ref="A61:E61"/>
    <mergeCell ref="F61:M61"/>
    <mergeCell ref="A63:E63"/>
    <mergeCell ref="F63:M63"/>
    <mergeCell ref="H67:I67"/>
    <mergeCell ref="L67:M67"/>
    <mergeCell ref="F41:G41"/>
    <mergeCell ref="H41:I41"/>
    <mergeCell ref="J41:K41"/>
    <mergeCell ref="L41:M41"/>
    <mergeCell ref="F42:G42"/>
    <mergeCell ref="H42:I42"/>
    <mergeCell ref="J42:K42"/>
    <mergeCell ref="L42:M42"/>
    <mergeCell ref="F16:G16"/>
    <mergeCell ref="F21:G21"/>
    <mergeCell ref="H21:I21"/>
    <mergeCell ref="J21:K21"/>
    <mergeCell ref="L21:M21"/>
    <mergeCell ref="F22:G22"/>
    <mergeCell ref="H22:I22"/>
    <mergeCell ref="J22:K22"/>
    <mergeCell ref="L22:M22"/>
    <mergeCell ref="F10:G10"/>
    <mergeCell ref="F11:G11"/>
    <mergeCell ref="F12:G12"/>
    <mergeCell ref="F13:G13"/>
    <mergeCell ref="F14:G14"/>
    <mergeCell ref="F15:G15"/>
    <mergeCell ref="F6:G6"/>
    <mergeCell ref="H6:I6"/>
    <mergeCell ref="J6:K6"/>
    <mergeCell ref="L6:M6"/>
    <mergeCell ref="F9:G9"/>
    <mergeCell ref="H9:I9"/>
    <mergeCell ref="J9:K9"/>
    <mergeCell ref="L9:M9"/>
    <mergeCell ref="I2:M2"/>
    <mergeCell ref="F4:G4"/>
    <mergeCell ref="H4:I4"/>
    <mergeCell ref="J4:K4"/>
    <mergeCell ref="L4:M4"/>
    <mergeCell ref="F5:G5"/>
    <mergeCell ref="H5:I5"/>
    <mergeCell ref="J5:K5"/>
    <mergeCell ref="L5:M5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geOrder="overThenDown" paperSize="9" scale="72" r:id="rId1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N93"/>
  <sheetViews>
    <sheetView showGridLines="0" zoomScale="85" zoomScaleNormal="85" zoomScaleSheetLayoutView="85" zoomScalePageLayoutView="85" workbookViewId="0" topLeftCell="A28">
      <selection activeCell="E68" sqref="E68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2" width="62.8515625" style="0" bestFit="1" customWidth="1"/>
    <col min="13" max="14" width="11.57421875" style="0" customWidth="1"/>
    <col min="15" max="16384" width="11.57421875" style="1" customWidth="1"/>
  </cols>
  <sheetData>
    <row r="1" ht="4.5" customHeight="1"/>
    <row r="2" spans="1:14" s="60" customFormat="1" ht="34.5" customHeight="1">
      <c r="A2" s="161" t="s">
        <v>137</v>
      </c>
      <c r="C2" s="13"/>
      <c r="D2" s="112"/>
      <c r="G2" s="61"/>
      <c r="H2" s="61"/>
      <c r="I2" s="570" t="s">
        <v>326</v>
      </c>
      <c r="J2" s="570"/>
      <c r="K2" s="68"/>
      <c r="L2" s="62"/>
      <c r="M2" s="62"/>
      <c r="N2" s="62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G7/$G$36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G9/$G$36</f>
        <v>0.302</v>
      </c>
      <c r="G9" s="227">
        <f>_2</f>
        <v>9000000</v>
      </c>
      <c r="H9" s="113"/>
      <c r="I9" s="158">
        <v>1</v>
      </c>
      <c r="J9" s="227">
        <f>G9*I9</f>
        <v>9000000</v>
      </c>
      <c r="K9" s="56"/>
    </row>
    <row r="10" spans="2:11" ht="6.75" customHeight="1">
      <c r="B10" s="13"/>
      <c r="C10" s="13"/>
      <c r="D10" s="14"/>
      <c r="E10" s="14"/>
      <c r="F10" s="206"/>
      <c r="G10" s="496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G11/$G$36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1</v>
      </c>
      <c r="J12" s="229">
        <f aca="true" t="shared" si="0" ref="J12:J19">G12*I12</f>
        <v>900000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1</v>
      </c>
      <c r="J13" s="325">
        <f t="shared" si="0"/>
        <v>1200000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1</v>
      </c>
      <c r="J14" s="325">
        <f t="shared" si="0"/>
        <v>1000000</v>
      </c>
      <c r="K14" s="56"/>
    </row>
    <row r="15" spans="1:12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1</v>
      </c>
      <c r="J15" s="325">
        <f t="shared" si="0"/>
        <v>1500000</v>
      </c>
      <c r="K15" s="56"/>
      <c r="L15" s="47"/>
    </row>
    <row r="16" spans="1:12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1</v>
      </c>
      <c r="J16" s="325">
        <f t="shared" si="0"/>
        <v>600000</v>
      </c>
      <c r="K16" s="56"/>
      <c r="L16" s="47"/>
    </row>
    <row r="17" spans="1:12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1</v>
      </c>
      <c r="J17" s="325">
        <f t="shared" si="0"/>
        <v>150000</v>
      </c>
      <c r="K17" s="56"/>
      <c r="L17" s="47"/>
    </row>
    <row r="18" spans="1:12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1</v>
      </c>
      <c r="J18" s="325">
        <f t="shared" si="0"/>
        <v>0</v>
      </c>
      <c r="K18" s="56"/>
      <c r="L18" s="47"/>
    </row>
    <row r="19" spans="1:12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1</v>
      </c>
      <c r="J19" s="326">
        <f t="shared" si="0"/>
        <v>300000</v>
      </c>
      <c r="K19" s="56"/>
      <c r="L19" s="47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G21/$G$36</f>
        <v>0.201</v>
      </c>
      <c r="G21" s="227">
        <f>_4</f>
        <v>6000000</v>
      </c>
      <c r="H21" s="113"/>
      <c r="I21" s="158">
        <v>1</v>
      </c>
      <c r="J21" s="227">
        <f>G21*I21</f>
        <v>6000000</v>
      </c>
      <c r="K21" s="56"/>
    </row>
    <row r="22" spans="2:12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  <c r="L22" s="48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G23/$G$36</f>
        <v>0.055</v>
      </c>
      <c r="G23" s="229">
        <f>_5</f>
        <v>1650000</v>
      </c>
      <c r="H23" s="113"/>
      <c r="I23" s="160"/>
      <c r="J23" s="302"/>
      <c r="K23" s="56"/>
    </row>
    <row r="24" spans="1:12" ht="12.75" customHeight="1">
      <c r="A24" s="569">
        <v>5</v>
      </c>
      <c r="B24" s="569"/>
      <c r="C24" s="128" t="s">
        <v>18</v>
      </c>
      <c r="D24" s="129" t="s">
        <v>282</v>
      </c>
      <c r="E24" s="129"/>
      <c r="F24" s="207"/>
      <c r="G24" s="225">
        <f>_5.01</f>
        <v>600000</v>
      </c>
      <c r="H24" s="113"/>
      <c r="I24" s="158">
        <v>1</v>
      </c>
      <c r="J24" s="325">
        <f>I24*G24</f>
        <v>600000</v>
      </c>
      <c r="K24" s="56"/>
      <c r="L24" s="48"/>
    </row>
    <row r="25" spans="1:12" ht="12.75" customHeight="1">
      <c r="A25" s="566">
        <v>5</v>
      </c>
      <c r="B25" s="566"/>
      <c r="C25" s="130" t="s">
        <v>20</v>
      </c>
      <c r="D25" s="500" t="s">
        <v>283</v>
      </c>
      <c r="E25" s="500"/>
      <c r="F25" s="501"/>
      <c r="G25" s="225">
        <f>_5.02</f>
        <v>1000000</v>
      </c>
      <c r="H25" s="113"/>
      <c r="I25" s="158">
        <v>0.6</v>
      </c>
      <c r="J25" s="325">
        <f>G25*I25</f>
        <v>600000</v>
      </c>
      <c r="K25" s="56"/>
      <c r="L25" s="48"/>
    </row>
    <row r="26" spans="1:12" ht="12.75" customHeight="1">
      <c r="A26" s="566">
        <v>5</v>
      </c>
      <c r="B26" s="566"/>
      <c r="C26" s="130" t="s">
        <v>21</v>
      </c>
      <c r="D26" s="131" t="s">
        <v>53</v>
      </c>
      <c r="E26" s="131"/>
      <c r="F26" s="208"/>
      <c r="G26" s="225">
        <f>_5.03</f>
        <v>50000</v>
      </c>
      <c r="H26" s="2"/>
      <c r="I26" s="158">
        <v>0</v>
      </c>
      <c r="J26" s="325">
        <f>G26*I26</f>
        <v>0</v>
      </c>
      <c r="K26" s="56"/>
      <c r="L26" s="48"/>
    </row>
    <row r="27" spans="2:12" ht="6.75" customHeight="1">
      <c r="B27" s="13"/>
      <c r="C27" s="13"/>
      <c r="D27" s="14"/>
      <c r="E27" s="14"/>
      <c r="F27" s="206"/>
      <c r="G27" s="223"/>
      <c r="H27" s="1"/>
      <c r="I27" s="132"/>
      <c r="J27" s="223"/>
      <c r="K27" s="56"/>
      <c r="L27" s="48"/>
    </row>
    <row r="28" spans="1:11" s="11" customFormat="1" ht="12.75" customHeight="1">
      <c r="A28" s="565">
        <v>6</v>
      </c>
      <c r="B28" s="565"/>
      <c r="C28" s="117"/>
      <c r="D28" s="118" t="s">
        <v>3</v>
      </c>
      <c r="E28" s="118"/>
      <c r="F28" s="205">
        <f>G28/$G$36</f>
        <v>0.017</v>
      </c>
      <c r="G28" s="227">
        <f>_6</f>
        <v>500000</v>
      </c>
      <c r="H28" s="113"/>
      <c r="I28" s="158">
        <v>1</v>
      </c>
      <c r="J28" s="227">
        <f>G28*I28</f>
        <v>500000</v>
      </c>
      <c r="K28" s="56"/>
    </row>
    <row r="29" spans="2:14" ht="6.75" customHeight="1">
      <c r="B29" s="17"/>
      <c r="C29" s="5"/>
      <c r="D29" s="1"/>
      <c r="E29" s="1"/>
      <c r="F29" s="209"/>
      <c r="G29" s="186"/>
      <c r="H29" s="1"/>
      <c r="I29" s="160"/>
      <c r="J29" s="186"/>
      <c r="K29" s="56"/>
      <c r="L29" s="18"/>
      <c r="M29" s="34"/>
      <c r="N29" s="34"/>
    </row>
    <row r="30" spans="1:12" s="12" customFormat="1" ht="12.75" customHeight="1">
      <c r="A30" s="565">
        <v>7</v>
      </c>
      <c r="B30" s="565"/>
      <c r="C30" s="117"/>
      <c r="D30" s="118" t="s">
        <v>143</v>
      </c>
      <c r="E30" s="118"/>
      <c r="F30" s="205">
        <f>G30/$G$36</f>
        <v>0.18</v>
      </c>
      <c r="G30" s="227">
        <f>_7</f>
        <v>5349398</v>
      </c>
      <c r="H30" s="113"/>
      <c r="I30" s="158">
        <v>0</v>
      </c>
      <c r="J30" s="227">
        <f>G30*I30</f>
        <v>0</v>
      </c>
      <c r="K30" s="56"/>
      <c r="L30" s="3"/>
    </row>
    <row r="31" spans="2:13" ht="6.75" customHeight="1">
      <c r="B31" s="13"/>
      <c r="C31" s="13"/>
      <c r="D31" s="14"/>
      <c r="E31" s="14"/>
      <c r="F31" s="209"/>
      <c r="G31" s="223"/>
      <c r="H31" s="1"/>
      <c r="I31" s="132"/>
      <c r="J31" s="223"/>
      <c r="K31" s="56"/>
      <c r="L31" s="18"/>
      <c r="M31" s="34"/>
    </row>
    <row r="32" spans="1:12" s="12" customFormat="1" ht="12.75" customHeight="1">
      <c r="A32" s="565">
        <v>8</v>
      </c>
      <c r="B32" s="565"/>
      <c r="C32" s="117"/>
      <c r="D32" s="118" t="s">
        <v>135</v>
      </c>
      <c r="E32" s="118"/>
      <c r="F32" s="205">
        <f>G32/$G$36</f>
        <v>0.001</v>
      </c>
      <c r="G32" s="227">
        <f>_8</f>
        <v>36000</v>
      </c>
      <c r="H32" s="113"/>
      <c r="I32" s="158">
        <v>0</v>
      </c>
      <c r="J32" s="227">
        <f>G32*I32</f>
        <v>0</v>
      </c>
      <c r="K32" s="56"/>
      <c r="L32" s="236"/>
    </row>
    <row r="33" spans="2:13" ht="6.75" customHeight="1">
      <c r="B33" s="13"/>
      <c r="C33" s="13"/>
      <c r="D33" s="14"/>
      <c r="E33" s="14"/>
      <c r="F33" s="209"/>
      <c r="G33" s="186"/>
      <c r="H33" s="1"/>
      <c r="I33" s="159"/>
      <c r="J33" s="186"/>
      <c r="K33" s="55"/>
      <c r="L33" s="33"/>
      <c r="M33" s="34"/>
    </row>
    <row r="34" spans="1:12" s="12" customFormat="1" ht="12.75" customHeight="1">
      <c r="A34" s="565">
        <v>9</v>
      </c>
      <c r="B34" s="565"/>
      <c r="C34" s="117"/>
      <c r="D34" s="118" t="s">
        <v>10</v>
      </c>
      <c r="E34" s="118"/>
      <c r="F34" s="205">
        <f>G34/$G$36</f>
        <v>0.054</v>
      </c>
      <c r="G34" s="227">
        <f>_9</f>
        <v>1600000</v>
      </c>
      <c r="H34" s="113"/>
      <c r="I34" s="158">
        <v>0.4</v>
      </c>
      <c r="J34" s="227">
        <f>G34*I34</f>
        <v>640000</v>
      </c>
      <c r="K34" s="56"/>
      <c r="L34" s="33"/>
    </row>
    <row r="35" spans="2:13" ht="12" customHeight="1">
      <c r="B35" s="17"/>
      <c r="C35" s="5"/>
      <c r="D35" s="1"/>
      <c r="E35" s="1"/>
      <c r="F35" s="53"/>
      <c r="G35" s="1"/>
      <c r="H35" s="1"/>
      <c r="I35" s="1"/>
      <c r="J35" s="1"/>
      <c r="K35" s="1"/>
      <c r="L35" s="33"/>
      <c r="M35" s="34"/>
    </row>
    <row r="36" spans="1:14" s="165" customFormat="1" ht="12.75" customHeight="1">
      <c r="A36" s="169" t="s">
        <v>12</v>
      </c>
      <c r="B36" s="170"/>
      <c r="C36" s="170"/>
      <c r="D36" s="170"/>
      <c r="E36" s="170"/>
      <c r="F36" s="172">
        <f>SUM(F7:F34)</f>
        <v>1</v>
      </c>
      <c r="G36" s="134">
        <f>_EK</f>
        <v>29800398</v>
      </c>
      <c r="H36" s="173"/>
      <c r="I36" s="247"/>
      <c r="J36" s="3"/>
      <c r="K36" s="3"/>
      <c r="L36" s="3"/>
      <c r="M36" s="174"/>
      <c r="N36" s="174"/>
    </row>
    <row r="37" spans="2:14" ht="6" customHeight="1">
      <c r="B37" s="503"/>
      <c r="C37" s="13"/>
      <c r="D37" s="14"/>
      <c r="E37" s="1"/>
      <c r="F37" s="53"/>
      <c r="G37" s="14"/>
      <c r="H37" s="15"/>
      <c r="I37" s="1"/>
      <c r="J37" s="1"/>
      <c r="K37" s="1"/>
      <c r="L37" s="1"/>
      <c r="M37" s="1"/>
      <c r="N37" s="1"/>
    </row>
    <row r="38" spans="1:10" s="11" customFormat="1" ht="12.75" customHeight="1">
      <c r="A38" s="565"/>
      <c r="B38" s="565"/>
      <c r="C38" s="117" t="s">
        <v>286</v>
      </c>
      <c r="D38" s="118"/>
      <c r="E38" s="328"/>
      <c r="F38" s="205"/>
      <c r="G38" s="227">
        <f>_mvB</f>
        <v>150000</v>
      </c>
      <c r="H38" s="113"/>
      <c r="I38" s="158">
        <v>1</v>
      </c>
      <c r="J38" s="227">
        <f>G38*I38</f>
        <v>150000</v>
      </c>
    </row>
    <row r="39" spans="2:14" ht="6" customHeight="1">
      <c r="B39" s="503"/>
      <c r="C39" s="13"/>
      <c r="D39" s="14"/>
      <c r="E39" s="1"/>
      <c r="F39" s="53"/>
      <c r="G39" s="14"/>
      <c r="H39" s="15"/>
      <c r="I39" s="1"/>
      <c r="J39" s="1"/>
      <c r="K39" s="1"/>
      <c r="L39" s="1"/>
      <c r="M39" s="1"/>
      <c r="N39" s="1"/>
    </row>
    <row r="40" spans="1:12" s="168" customFormat="1" ht="12.75" customHeight="1">
      <c r="A40" s="303" t="s">
        <v>33</v>
      </c>
      <c r="B40" s="304"/>
      <c r="C40" s="304"/>
      <c r="D40" s="304"/>
      <c r="E40" s="304"/>
      <c r="F40" s="304"/>
      <c r="G40" s="304"/>
      <c r="H40" s="304"/>
      <c r="I40" s="305"/>
      <c r="J40" s="306">
        <f>SUM(J7:J38)</f>
        <v>23140000</v>
      </c>
      <c r="K40" s="171"/>
      <c r="L40" s="3"/>
    </row>
    <row r="41" spans="2:14" s="22" customFormat="1" ht="12.75" customHeight="1">
      <c r="B41" s="25"/>
      <c r="C41" s="25"/>
      <c r="D41" s="23"/>
      <c r="E41" s="52"/>
      <c r="F41" s="52"/>
      <c r="G41" s="23"/>
      <c r="H41" s="52"/>
      <c r="I41" s="248"/>
      <c r="J41" s="248"/>
      <c r="K41" s="32"/>
      <c r="L41" s="33"/>
      <c r="M41" s="51"/>
      <c r="N41" s="24"/>
    </row>
    <row r="42" spans="2:13" ht="9" customHeight="1">
      <c r="B42" s="21"/>
      <c r="J42" s="505"/>
      <c r="L42" s="33"/>
      <c r="M42" s="34"/>
    </row>
    <row r="43" spans="1:10" ht="6" customHeight="1">
      <c r="A43" s="251"/>
      <c r="B43" s="251"/>
      <c r="C43" s="251"/>
      <c r="D43" s="271"/>
      <c r="E43" s="283"/>
      <c r="F43" s="283"/>
      <c r="G43" s="271"/>
      <c r="H43" s="283"/>
      <c r="J43" s="506"/>
    </row>
    <row r="44" spans="1:11" ht="12.75" customHeight="1">
      <c r="A44" s="249" t="s">
        <v>120</v>
      </c>
      <c r="B44" s="249"/>
      <c r="C44" s="249"/>
      <c r="D44" s="250"/>
      <c r="E44" s="250"/>
      <c r="F44" s="250"/>
      <c r="G44" s="250"/>
      <c r="H44" s="250"/>
      <c r="I44" s="249"/>
      <c r="J44" s="545"/>
      <c r="K44" s="508"/>
    </row>
    <row r="45" spans="1:10" ht="6.75" customHeight="1">
      <c r="A45" s="251"/>
      <c r="B45" s="251"/>
      <c r="C45" s="251"/>
      <c r="D45" s="251"/>
      <c r="E45" s="252"/>
      <c r="F45" s="252"/>
      <c r="G45" s="251"/>
      <c r="H45" s="252"/>
      <c r="J45" s="506"/>
    </row>
    <row r="46" spans="1:12" ht="12.75" customHeight="1">
      <c r="A46" s="253" t="s">
        <v>89</v>
      </c>
      <c r="B46" s="254"/>
      <c r="C46" s="254"/>
      <c r="D46" s="254"/>
      <c r="E46" s="254"/>
      <c r="F46" s="254"/>
      <c r="G46" s="254"/>
      <c r="H46" s="254"/>
      <c r="I46" s="63"/>
      <c r="J46" s="506"/>
      <c r="K46" s="18"/>
      <c r="L46" s="48"/>
    </row>
    <row r="47" spans="1:11" ht="12.75" customHeight="1">
      <c r="A47" s="27"/>
      <c r="B47" s="27"/>
      <c r="C47" s="27"/>
      <c r="D47" s="1"/>
      <c r="E47" s="1"/>
      <c r="F47" s="1"/>
      <c r="G47" s="255" t="s">
        <v>5</v>
      </c>
      <c r="H47" s="256" t="s">
        <v>4</v>
      </c>
      <c r="J47" s="424"/>
      <c r="K47" s="64"/>
    </row>
    <row r="48" spans="2:11" ht="12.75" customHeight="1">
      <c r="B48" s="28" t="s">
        <v>47</v>
      </c>
      <c r="C48" s="66"/>
      <c r="D48" s="57"/>
      <c r="E48" s="57"/>
      <c r="F48" s="57"/>
      <c r="G48" s="175">
        <v>15</v>
      </c>
      <c r="H48" s="257" t="s">
        <v>34</v>
      </c>
      <c r="I48" s="19"/>
      <c r="J48" s="424"/>
      <c r="K48" s="64"/>
    </row>
    <row r="49" spans="2:11" ht="12.75" customHeight="1">
      <c r="B49" s="29" t="s">
        <v>48</v>
      </c>
      <c r="C49" s="67"/>
      <c r="D49" s="58"/>
      <c r="E49" s="58"/>
      <c r="F49" s="58"/>
      <c r="G49" s="176">
        <v>3</v>
      </c>
      <c r="H49" s="258" t="s">
        <v>6</v>
      </c>
      <c r="I49" s="19"/>
      <c r="J49" s="424"/>
      <c r="K49" s="64"/>
    </row>
    <row r="50" spans="2:11" ht="12.75" customHeight="1">
      <c r="B50" s="29" t="s">
        <v>49</v>
      </c>
      <c r="C50" s="67"/>
      <c r="D50" s="58"/>
      <c r="E50" s="58"/>
      <c r="F50" s="58"/>
      <c r="G50" s="176">
        <v>1</v>
      </c>
      <c r="H50" s="258" t="s">
        <v>6</v>
      </c>
      <c r="I50" s="19"/>
      <c r="J50" s="424"/>
      <c r="K50" s="64"/>
    </row>
    <row r="51" spans="2:11" ht="12.75" customHeight="1">
      <c r="B51" s="29" t="s">
        <v>50</v>
      </c>
      <c r="C51" s="58"/>
      <c r="D51" s="58"/>
      <c r="E51" s="58"/>
      <c r="F51" s="58"/>
      <c r="G51" s="176">
        <v>2</v>
      </c>
      <c r="H51" s="258" t="s">
        <v>6</v>
      </c>
      <c r="I51" s="19"/>
      <c r="J51" s="424"/>
      <c r="K51" s="64"/>
    </row>
    <row r="52" spans="1:14" ht="4.5" customHeight="1">
      <c r="A52" s="44"/>
      <c r="B52" s="44"/>
      <c r="C52" s="44"/>
      <c r="D52" s="1"/>
      <c r="E52" s="1"/>
      <c r="F52" s="1"/>
      <c r="G52" s="259"/>
      <c r="H52" s="259"/>
      <c r="I52" s="63"/>
      <c r="J52" s="424"/>
      <c r="K52" s="64"/>
      <c r="L52" s="34"/>
      <c r="M52" s="34"/>
      <c r="N52" s="34"/>
    </row>
    <row r="53" spans="2:11" ht="12.75" customHeight="1">
      <c r="B53" s="27" t="s">
        <v>15</v>
      </c>
      <c r="C53" s="1"/>
      <c r="D53" s="260"/>
      <c r="E53" s="261"/>
      <c r="F53" s="261"/>
      <c r="G53" s="177">
        <v>3</v>
      </c>
      <c r="H53" s="261"/>
      <c r="J53" s="424"/>
      <c r="K53" s="1"/>
    </row>
    <row r="54" spans="1:14" ht="4.5" customHeight="1">
      <c r="A54" s="44"/>
      <c r="B54" s="44"/>
      <c r="C54" s="1"/>
      <c r="D54" s="261"/>
      <c r="E54" s="261"/>
      <c r="F54" s="261"/>
      <c r="G54" s="261"/>
      <c r="H54" s="261"/>
      <c r="I54" s="59"/>
      <c r="J54" s="424"/>
      <c r="K54" s="1"/>
      <c r="L54" s="34"/>
      <c r="M54" s="34"/>
      <c r="N54" s="34"/>
    </row>
    <row r="55" spans="2:11" ht="12.75" customHeight="1">
      <c r="B55" s="27" t="s">
        <v>46</v>
      </c>
      <c r="C55" s="1"/>
      <c r="D55" s="260"/>
      <c r="E55" s="261"/>
      <c r="F55" s="261"/>
      <c r="G55" s="262">
        <f>SUM(G48:G53)</f>
        <v>24</v>
      </c>
      <c r="H55" s="261"/>
      <c r="J55" s="424"/>
      <c r="K55" s="1"/>
    </row>
    <row r="56" spans="2:14" ht="12.75" customHeight="1">
      <c r="B56" s="44"/>
      <c r="C56" s="1"/>
      <c r="D56" s="261"/>
      <c r="E56" s="261"/>
      <c r="F56" s="261"/>
      <c r="G56" s="261"/>
      <c r="H56" s="261"/>
      <c r="I56" s="59"/>
      <c r="J56" s="424"/>
      <c r="K56" s="1"/>
      <c r="L56" s="34"/>
      <c r="M56" s="34"/>
      <c r="N56" s="34"/>
    </row>
    <row r="57" spans="1:11" ht="12.75" customHeight="1">
      <c r="A57" s="253" t="s">
        <v>16</v>
      </c>
      <c r="B57" s="253"/>
      <c r="C57" s="254"/>
      <c r="D57" s="254"/>
      <c r="E57" s="254"/>
      <c r="F57" s="254"/>
      <c r="G57" s="254"/>
      <c r="H57" s="254"/>
      <c r="I57" s="509"/>
      <c r="J57" s="1"/>
      <c r="K57" s="18"/>
    </row>
    <row r="58" spans="1:11" ht="4.5" customHeight="1">
      <c r="A58" s="263"/>
      <c r="B58" s="263"/>
      <c r="C58" s="263"/>
      <c r="D58" s="263"/>
      <c r="J58" s="1"/>
      <c r="K58" s="18"/>
    </row>
    <row r="59" spans="1:11" ht="12.75" customHeight="1">
      <c r="A59" s="264" t="s">
        <v>11</v>
      </c>
      <c r="B59" s="264"/>
      <c r="C59" s="1"/>
      <c r="G59" s="307">
        <f>J40</f>
        <v>23140000</v>
      </c>
      <c r="J59" s="1"/>
      <c r="K59" s="18"/>
    </row>
    <row r="60" spans="1:11" ht="7.5" customHeight="1">
      <c r="A60" s="30"/>
      <c r="B60" s="30"/>
      <c r="C60" s="30"/>
      <c r="D60" s="30"/>
      <c r="E60" s="26"/>
      <c r="F60" s="26"/>
      <c r="G60" s="260"/>
      <c r="J60" s="510"/>
      <c r="K60" s="18"/>
    </row>
    <row r="61" spans="1:11" ht="14.25" customHeight="1">
      <c r="A61" s="30" t="s">
        <v>94</v>
      </c>
      <c r="B61" s="30"/>
      <c r="C61" s="30"/>
      <c r="D61" s="1"/>
      <c r="E61" s="1"/>
      <c r="F61" s="1"/>
      <c r="G61" s="147">
        <f>0.0214*G55+0.9143</f>
        <v>1.43</v>
      </c>
      <c r="H61" s="180"/>
      <c r="J61" s="510"/>
      <c r="K61" s="18"/>
    </row>
    <row r="62" spans="1:11" ht="4.5" customHeight="1">
      <c r="A62" s="30"/>
      <c r="B62" s="30"/>
      <c r="C62" s="30"/>
      <c r="D62" s="1"/>
      <c r="E62" s="1"/>
      <c r="F62" s="1"/>
      <c r="G62" s="42"/>
      <c r="H62" s="180"/>
      <c r="J62" s="510"/>
      <c r="K62" s="18"/>
    </row>
    <row r="63" spans="1:11" ht="15" customHeight="1">
      <c r="A63" s="30" t="s">
        <v>323</v>
      </c>
      <c r="B63" s="30"/>
      <c r="C63" s="30"/>
      <c r="D63" s="1"/>
      <c r="E63" s="1"/>
      <c r="F63" s="1"/>
      <c r="G63" s="359">
        <f>ROUND(IF(G59=0,"-",(1.75*(-0.0778*LN(G59)+2.022))*G61/100),6)</f>
        <v>0.017586</v>
      </c>
      <c r="H63" s="324" t="s">
        <v>138</v>
      </c>
      <c r="I63" s="567" t="s">
        <v>324</v>
      </c>
      <c r="J63" s="567"/>
      <c r="K63" s="548"/>
    </row>
    <row r="64" spans="1:11" ht="15" customHeight="1">
      <c r="A64" s="30" t="s">
        <v>318</v>
      </c>
      <c r="B64" s="30"/>
      <c r="C64" s="30"/>
      <c r="D64" s="1"/>
      <c r="E64" s="1"/>
      <c r="F64" s="1"/>
      <c r="G64" s="522">
        <v>0.2</v>
      </c>
      <c r="H64" s="324"/>
      <c r="I64" s="567"/>
      <c r="J64" s="567"/>
      <c r="K64" s="548"/>
    </row>
    <row r="65" spans="1:11" ht="7.5" customHeight="1">
      <c r="A65" s="30"/>
      <c r="B65" s="30"/>
      <c r="C65" s="30"/>
      <c r="D65" s="1"/>
      <c r="E65" s="1"/>
      <c r="F65" s="1"/>
      <c r="G65" s="265"/>
      <c r="H65" s="265"/>
      <c r="J65" s="548"/>
      <c r="K65" s="548"/>
    </row>
    <row r="66" spans="1:12" ht="15" customHeight="1">
      <c r="A66" s="31" t="s">
        <v>325</v>
      </c>
      <c r="B66" s="28"/>
      <c r="C66" s="28"/>
      <c r="D66" s="266"/>
      <c r="E66" s="267"/>
      <c r="F66" s="267"/>
      <c r="G66" s="268"/>
      <c r="H66" s="546">
        <f>IF(G59=0,"-",ROUND(G59*G63*(1+G64),2))</f>
        <v>488328</v>
      </c>
      <c r="I66" s="71"/>
      <c r="J66" s="1"/>
      <c r="K66" s="18"/>
      <c r="L66" s="156"/>
    </row>
    <row r="67" spans="1:14" ht="12.75" customHeight="1">
      <c r="A67" s="43"/>
      <c r="B67" s="44"/>
      <c r="C67" s="44"/>
      <c r="D67" s="269"/>
      <c r="E67" s="269"/>
      <c r="F67" s="269"/>
      <c r="G67" s="270"/>
      <c r="H67" s="270"/>
      <c r="I67" s="63"/>
      <c r="J67" s="45"/>
      <c r="K67" s="18"/>
      <c r="L67" s="34"/>
      <c r="M67" s="34"/>
      <c r="N67" s="34"/>
    </row>
    <row r="68" spans="1:14" ht="12.75" customHeight="1">
      <c r="A68" s="43"/>
      <c r="B68" s="44"/>
      <c r="C68" s="44"/>
      <c r="D68" s="269"/>
      <c r="E68" s="549" t="s">
        <v>329</v>
      </c>
      <c r="F68" s="269"/>
      <c r="G68" s="255" t="s">
        <v>5</v>
      </c>
      <c r="H68" s="270"/>
      <c r="I68" s="63"/>
      <c r="J68" s="45"/>
      <c r="K68" s="18"/>
      <c r="L68" s="34"/>
      <c r="M68" s="34"/>
      <c r="N68" s="34"/>
    </row>
    <row r="69" spans="1:10" ht="12.75" customHeight="1">
      <c r="A69" s="271" t="s">
        <v>35</v>
      </c>
      <c r="B69" s="271"/>
      <c r="C69" s="272"/>
      <c r="D69" s="1"/>
      <c r="E69" s="550">
        <v>0.2</v>
      </c>
      <c r="F69" s="274"/>
      <c r="G69" s="343">
        <v>0.2</v>
      </c>
      <c r="H69" s="275">
        <f>IF($G$59=0,"-",$H$66*G69)</f>
        <v>97666</v>
      </c>
      <c r="I69" s="59"/>
      <c r="J69" s="510"/>
    </row>
    <row r="70" spans="1:10" ht="12.75" customHeight="1">
      <c r="A70" s="271" t="s">
        <v>36</v>
      </c>
      <c r="B70" s="271"/>
      <c r="C70" s="272"/>
      <c r="D70" s="1"/>
      <c r="E70" s="550">
        <v>0.06</v>
      </c>
      <c r="F70" s="274"/>
      <c r="G70" s="344">
        <v>0.06</v>
      </c>
      <c r="H70" s="275">
        <f aca="true" t="shared" si="1" ref="H70:H78">IF($G$59=0,"-",$H$66*G70)</f>
        <v>29300</v>
      </c>
      <c r="I70" s="59"/>
      <c r="J70" s="510"/>
    </row>
    <row r="71" spans="1:10" ht="12.75" customHeight="1">
      <c r="A71" s="271" t="s">
        <v>37</v>
      </c>
      <c r="B71" s="271"/>
      <c r="C71" s="272"/>
      <c r="D71" s="1"/>
      <c r="E71" s="550">
        <v>0.08</v>
      </c>
      <c r="F71" s="274"/>
      <c r="G71" s="344">
        <v>0.08</v>
      </c>
      <c r="H71" s="275">
        <f t="shared" si="1"/>
        <v>39066</v>
      </c>
      <c r="I71" s="59"/>
      <c r="J71" s="510"/>
    </row>
    <row r="72" spans="1:10" ht="12.75" customHeight="1">
      <c r="A72" s="271" t="s">
        <v>38</v>
      </c>
      <c r="B72" s="271"/>
      <c r="C72" s="272"/>
      <c r="D72" s="1"/>
      <c r="E72" s="550">
        <v>0.03</v>
      </c>
      <c r="F72" s="274"/>
      <c r="G72" s="344">
        <v>0.03</v>
      </c>
      <c r="H72" s="275">
        <f t="shared" si="1"/>
        <v>14650</v>
      </c>
      <c r="I72" s="59"/>
      <c r="J72" s="238"/>
    </row>
    <row r="73" spans="1:10" ht="12.75" customHeight="1">
      <c r="A73" s="271" t="s">
        <v>39</v>
      </c>
      <c r="B73" s="271"/>
      <c r="C73" s="272"/>
      <c r="D73" s="1"/>
      <c r="E73" s="550">
        <v>0.17</v>
      </c>
      <c r="F73" s="274"/>
      <c r="G73" s="344">
        <v>0.17</v>
      </c>
      <c r="H73" s="275">
        <f t="shared" si="1"/>
        <v>83016</v>
      </c>
      <c r="I73" s="59"/>
      <c r="J73" s="238"/>
    </row>
    <row r="74" spans="1:10" ht="12.75" customHeight="1">
      <c r="A74" s="271" t="s">
        <v>40</v>
      </c>
      <c r="B74" s="271"/>
      <c r="C74" s="272"/>
      <c r="D74" s="1"/>
      <c r="E74" s="550">
        <v>0.08</v>
      </c>
      <c r="F74" s="274"/>
      <c r="G74" s="344">
        <v>0.08</v>
      </c>
      <c r="H74" s="275">
        <f t="shared" si="1"/>
        <v>39066</v>
      </c>
      <c r="I74" s="59"/>
      <c r="J74" s="238"/>
    </row>
    <row r="75" spans="1:14" ht="12.75" customHeight="1">
      <c r="A75" s="271" t="s">
        <v>41</v>
      </c>
      <c r="B75" s="271"/>
      <c r="C75" s="272"/>
      <c r="D75" s="1"/>
      <c r="E75" s="550">
        <v>0.02</v>
      </c>
      <c r="F75" s="274"/>
      <c r="G75" s="344">
        <v>0.02</v>
      </c>
      <c r="H75" s="275">
        <f t="shared" si="1"/>
        <v>9767</v>
      </c>
      <c r="I75" s="59"/>
      <c r="J75" s="238"/>
      <c r="L75" s="49"/>
      <c r="M75" s="49"/>
      <c r="N75" s="49"/>
    </row>
    <row r="76" spans="1:14" ht="12.75" customHeight="1">
      <c r="A76" s="271" t="s">
        <v>42</v>
      </c>
      <c r="B76" s="271"/>
      <c r="C76" s="272"/>
      <c r="D76" s="1"/>
      <c r="E76" s="550">
        <v>0.03</v>
      </c>
      <c r="F76" s="274"/>
      <c r="G76" s="344">
        <v>0.03</v>
      </c>
      <c r="H76" s="275">
        <f t="shared" si="1"/>
        <v>14650</v>
      </c>
      <c r="I76" s="59"/>
      <c r="J76" s="238"/>
      <c r="L76" s="49"/>
      <c r="M76" s="49"/>
      <c r="N76" s="49"/>
    </row>
    <row r="77" spans="1:14" ht="12.75" customHeight="1">
      <c r="A77" s="251" t="s">
        <v>43</v>
      </c>
      <c r="B77" s="251"/>
      <c r="C77" s="272"/>
      <c r="D77" s="1"/>
      <c r="E77" s="550">
        <v>0.3</v>
      </c>
      <c r="F77" s="274"/>
      <c r="G77" s="344">
        <v>0.3</v>
      </c>
      <c r="H77" s="275">
        <f t="shared" si="1"/>
        <v>146498</v>
      </c>
      <c r="I77" s="59"/>
      <c r="J77" s="238"/>
      <c r="L77" s="49"/>
      <c r="M77" s="49"/>
      <c r="N77" s="49"/>
    </row>
    <row r="78" spans="1:14" ht="12.75" customHeight="1">
      <c r="A78" s="276" t="s">
        <v>44</v>
      </c>
      <c r="B78" s="276"/>
      <c r="C78" s="277"/>
      <c r="D78" s="57"/>
      <c r="E78" s="551">
        <v>0.03</v>
      </c>
      <c r="F78" s="279"/>
      <c r="G78" s="345">
        <v>0.03</v>
      </c>
      <c r="H78" s="275">
        <f t="shared" si="1"/>
        <v>14650</v>
      </c>
      <c r="I78" s="63"/>
      <c r="J78" s="238"/>
      <c r="L78" s="49"/>
      <c r="M78" s="49"/>
      <c r="N78" s="49"/>
    </row>
    <row r="79" spans="1:14" ht="12.75" customHeight="1">
      <c r="A79" s="280" t="s">
        <v>45</v>
      </c>
      <c r="B79" s="251"/>
      <c r="C79" s="30"/>
      <c r="D79" s="1"/>
      <c r="E79" s="281"/>
      <c r="F79" s="281"/>
      <c r="G79" s="281">
        <f>SUM(G69:G78)</f>
        <v>1</v>
      </c>
      <c r="H79" s="282">
        <f>IF($G$59=0,"-",$H$66*G79/$G$79)</f>
        <v>488328</v>
      </c>
      <c r="J79" s="215">
        <f>H79</f>
        <v>488328</v>
      </c>
      <c r="L79" s="49"/>
      <c r="M79" s="49"/>
      <c r="N79" s="49"/>
    </row>
    <row r="80" spans="10:14" ht="12.75" customHeight="1">
      <c r="J80" s="238"/>
      <c r="L80" s="49"/>
      <c r="M80" s="49"/>
      <c r="N80" s="49"/>
    </row>
    <row r="81" spans="1:14" ht="12.75" customHeight="1">
      <c r="A81" s="54" t="s">
        <v>171</v>
      </c>
      <c r="G81" s="355">
        <v>0</v>
      </c>
      <c r="H81" s="356">
        <v>0</v>
      </c>
      <c r="J81" s="215">
        <f>G81*H81</f>
        <v>0</v>
      </c>
      <c r="L81" s="49"/>
      <c r="M81" s="49"/>
      <c r="N81" s="49"/>
    </row>
    <row r="82" spans="10:14" ht="12.75" customHeight="1">
      <c r="J82" s="238"/>
      <c r="L82" s="49"/>
      <c r="M82" s="49"/>
      <c r="N82" s="49"/>
    </row>
    <row r="83" spans="1:14" s="35" customFormat="1" ht="12.75">
      <c r="A83" s="141" t="s">
        <v>147</v>
      </c>
      <c r="B83" s="142"/>
      <c r="C83" s="143"/>
      <c r="D83" s="143"/>
      <c r="E83" s="144"/>
      <c r="F83" s="145"/>
      <c r="G83" s="144"/>
      <c r="H83" s="144"/>
      <c r="I83" s="144"/>
      <c r="J83" s="215">
        <f>J79+J81</f>
        <v>488328</v>
      </c>
      <c r="K83" s="39"/>
      <c r="L83" s="90"/>
      <c r="M83" s="91"/>
      <c r="N83" s="92"/>
    </row>
    <row r="84" spans="2:14" s="35" customFormat="1" ht="4.5" customHeight="1">
      <c r="B84" s="36"/>
      <c r="C84" s="37"/>
      <c r="D84" s="37"/>
      <c r="E84" s="72"/>
      <c r="F84" s="73"/>
      <c r="G84" s="74"/>
      <c r="H84" s="102"/>
      <c r="J84" s="216"/>
      <c r="K84" s="39"/>
      <c r="L84" s="39"/>
      <c r="M84" s="93"/>
      <c r="N84" s="94"/>
    </row>
    <row r="85" spans="1:14" s="35" customFormat="1" ht="12.75">
      <c r="A85" s="75" t="s">
        <v>13</v>
      </c>
      <c r="B85" s="36"/>
      <c r="C85" s="37"/>
      <c r="D85" s="37"/>
      <c r="E85" s="83"/>
      <c r="F85" s="83"/>
      <c r="G85" s="338">
        <v>0.04</v>
      </c>
      <c r="H85" s="103"/>
      <c r="I85" s="40"/>
      <c r="J85" s="217">
        <f>IF(G59=0,"-",ROUND(J83*G85,2))</f>
        <v>19533</v>
      </c>
      <c r="K85" s="39"/>
      <c r="L85" s="95"/>
      <c r="M85" s="93"/>
      <c r="N85" s="94"/>
    </row>
    <row r="86" spans="1:14" s="35" customFormat="1" ht="3" customHeight="1">
      <c r="A86" s="76"/>
      <c r="B86" s="77"/>
      <c r="C86" s="78"/>
      <c r="D86" s="78"/>
      <c r="E86" s="85"/>
      <c r="F86" s="85"/>
      <c r="G86" s="339"/>
      <c r="H86" s="104"/>
      <c r="I86" s="76"/>
      <c r="J86" s="218"/>
      <c r="K86" s="39"/>
      <c r="L86" s="39"/>
      <c r="M86" s="93"/>
      <c r="N86" s="94"/>
    </row>
    <row r="87" spans="2:14" s="35" customFormat="1" ht="3" customHeight="1">
      <c r="B87" s="36"/>
      <c r="C87" s="37"/>
      <c r="D87" s="37"/>
      <c r="E87" s="88"/>
      <c r="F87" s="88"/>
      <c r="G87" s="340"/>
      <c r="H87" s="105"/>
      <c r="I87" s="89"/>
      <c r="J87" s="216"/>
      <c r="K87" s="39"/>
      <c r="L87" s="39"/>
      <c r="M87" s="93"/>
      <c r="N87" s="94"/>
    </row>
    <row r="88" spans="1:14" s="35" customFormat="1" ht="12.75">
      <c r="A88" s="80" t="s">
        <v>148</v>
      </c>
      <c r="B88" s="81"/>
      <c r="C88" s="82"/>
      <c r="D88" s="82"/>
      <c r="E88" s="38"/>
      <c r="F88" s="38"/>
      <c r="G88" s="337"/>
      <c r="H88" s="103"/>
      <c r="I88" s="40"/>
      <c r="J88" s="219">
        <f>J83+J85</f>
        <v>507861</v>
      </c>
      <c r="K88" s="39"/>
      <c r="L88" s="96"/>
      <c r="M88" s="97"/>
      <c r="N88" s="98"/>
    </row>
    <row r="89" spans="1:14" s="35" customFormat="1" ht="12.75">
      <c r="A89" s="35" t="s">
        <v>14</v>
      </c>
      <c r="B89" s="36"/>
      <c r="D89" s="37"/>
      <c r="E89" s="79"/>
      <c r="F89" s="79"/>
      <c r="G89" s="41">
        <v>0.2</v>
      </c>
      <c r="H89" s="41"/>
      <c r="J89" s="220">
        <f>IF(G59=0,"-",ROUND(J88*G89,2))</f>
        <v>101572</v>
      </c>
      <c r="K89" s="39"/>
      <c r="L89" s="39"/>
      <c r="M89" s="93"/>
      <c r="N89" s="99"/>
    </row>
    <row r="90" spans="1:14" s="35" customFormat="1" ht="3" customHeight="1">
      <c r="A90" s="40"/>
      <c r="B90" s="308"/>
      <c r="C90" s="87"/>
      <c r="D90" s="87"/>
      <c r="E90" s="79"/>
      <c r="F90" s="79"/>
      <c r="G90" s="74"/>
      <c r="H90" s="102"/>
      <c r="J90" s="221"/>
      <c r="K90" s="39"/>
      <c r="L90" s="39"/>
      <c r="M90" s="93"/>
      <c r="N90" s="94"/>
    </row>
    <row r="91" spans="1:14" s="40" customFormat="1" ht="12.75">
      <c r="A91" s="296" t="s">
        <v>149</v>
      </c>
      <c r="B91" s="309"/>
      <c r="C91" s="297"/>
      <c r="D91" s="297"/>
      <c r="E91" s="298"/>
      <c r="F91" s="299"/>
      <c r="G91" s="300"/>
      <c r="H91" s="300"/>
      <c r="I91" s="298"/>
      <c r="J91" s="310">
        <f>SUM(J87:J89)</f>
        <v>609433</v>
      </c>
      <c r="K91" s="39"/>
      <c r="L91" s="96"/>
      <c r="M91" s="97"/>
      <c r="N91" s="98"/>
    </row>
    <row r="92" spans="12:14" ht="4.5" customHeight="1">
      <c r="L92" s="49"/>
      <c r="M92" s="49"/>
      <c r="N92" s="49"/>
    </row>
    <row r="93" spans="1:14" s="311" customFormat="1" ht="12.75">
      <c r="A93" s="311" t="s">
        <v>136</v>
      </c>
      <c r="B93" s="312"/>
      <c r="C93" s="312"/>
      <c r="D93" s="313"/>
      <c r="E93" s="314"/>
      <c r="F93" s="314"/>
      <c r="G93" s="322">
        <f>J88/G36</f>
        <v>0.017</v>
      </c>
      <c r="H93" s="314"/>
      <c r="I93" s="315"/>
      <c r="J93" s="316"/>
      <c r="K93" s="317"/>
      <c r="L93" s="318"/>
      <c r="M93" s="318"/>
      <c r="N93" s="318"/>
    </row>
  </sheetData>
  <sheetProtection password="D2DC" sheet="1"/>
  <mergeCells count="23">
    <mergeCell ref="A11:B11"/>
    <mergeCell ref="A32:B32"/>
    <mergeCell ref="A15:B15"/>
    <mergeCell ref="I2:J2"/>
    <mergeCell ref="A21:B21"/>
    <mergeCell ref="A13:B13"/>
    <mergeCell ref="A24:B24"/>
    <mergeCell ref="A23:B23"/>
    <mergeCell ref="A7:B7"/>
    <mergeCell ref="A9:B9"/>
    <mergeCell ref="A12:B12"/>
    <mergeCell ref="A28:B28"/>
    <mergeCell ref="A19:B19"/>
    <mergeCell ref="A18:B18"/>
    <mergeCell ref="A30:B30"/>
    <mergeCell ref="A14:B14"/>
    <mergeCell ref="A17:B17"/>
    <mergeCell ref="A38:B38"/>
    <mergeCell ref="A26:B26"/>
    <mergeCell ref="I63:J64"/>
    <mergeCell ref="A16:B16"/>
    <mergeCell ref="A25:B25"/>
    <mergeCell ref="A34:B34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2:N85"/>
  <sheetViews>
    <sheetView showGridLines="0" zoomScale="85" zoomScaleNormal="85" zoomScaleSheetLayoutView="70" zoomScalePageLayoutView="85" workbookViewId="0" topLeftCell="A25">
      <selection activeCell="G60" sqref="G60"/>
    </sheetView>
  </sheetViews>
  <sheetFormatPr defaultColWidth="5.7109375" defaultRowHeight="15"/>
  <cols>
    <col min="1" max="1" width="1.57421875" style="1" customWidth="1"/>
    <col min="2" max="2" width="2.28125" style="7" customWidth="1"/>
    <col min="3" max="3" width="3.7109375" style="7" customWidth="1"/>
    <col min="4" max="4" width="30.8515625" style="8" customWidth="1"/>
    <col min="5" max="5" width="7.421875" style="46" customWidth="1"/>
    <col min="6" max="6" width="7.7109375" style="46" customWidth="1"/>
    <col min="7" max="7" width="15.7109375" style="8" customWidth="1"/>
    <col min="8" max="8" width="12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2" width="5.7109375" style="0" customWidth="1"/>
    <col min="13" max="16384" width="5.7109375" style="1" customWidth="1"/>
  </cols>
  <sheetData>
    <row r="1" ht="4.5" customHeight="1"/>
    <row r="2" spans="1:12" s="60" customFormat="1" ht="34.5" customHeight="1">
      <c r="A2" s="161" t="s">
        <v>137</v>
      </c>
      <c r="C2" s="13"/>
      <c r="D2" s="112"/>
      <c r="G2" s="61"/>
      <c r="H2" s="61"/>
      <c r="I2" s="570" t="s">
        <v>114</v>
      </c>
      <c r="J2" s="570"/>
      <c r="K2" s="68"/>
      <c r="L2" s="62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495"/>
      <c r="F7" s="205">
        <f>G7/$G$28</f>
        <v>0.001</v>
      </c>
      <c r="G7" s="227">
        <f>_1</f>
        <v>15000</v>
      </c>
      <c r="H7" s="113"/>
      <c r="I7" s="157">
        <v>0</v>
      </c>
      <c r="J7" s="229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496"/>
      <c r="H8" s="1"/>
      <c r="I8" s="132"/>
      <c r="J8" s="497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495"/>
      <c r="F9" s="205">
        <f>G9/$G$28</f>
        <v>0.302</v>
      </c>
      <c r="G9" s="227">
        <f>_2</f>
        <v>9000000</v>
      </c>
      <c r="H9" s="113"/>
      <c r="I9" s="158">
        <v>1</v>
      </c>
      <c r="J9" s="325">
        <f>G9*I9</f>
        <v>9000000</v>
      </c>
      <c r="K9" s="56"/>
    </row>
    <row r="10" spans="2:11" ht="6.75" customHeight="1">
      <c r="B10" s="13"/>
      <c r="C10" s="13"/>
      <c r="D10" s="14"/>
      <c r="E10" s="1"/>
      <c r="F10" s="206"/>
      <c r="G10" s="496"/>
      <c r="H10" s="1"/>
      <c r="I10" s="132"/>
      <c r="J10" s="498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495"/>
      <c r="F11" s="205">
        <f>G11/$G$28</f>
        <v>0.19</v>
      </c>
      <c r="G11" s="227">
        <f>_3</f>
        <v>5650000</v>
      </c>
      <c r="H11" s="113"/>
      <c r="I11" s="158">
        <v>1</v>
      </c>
      <c r="J11" s="325">
        <f>G11*I11</f>
        <v>5650000</v>
      </c>
      <c r="K11" s="56"/>
    </row>
    <row r="12" spans="2:11" ht="6.75" customHeight="1">
      <c r="B12" s="13"/>
      <c r="C12" s="13"/>
      <c r="D12" s="14"/>
      <c r="E12" s="1"/>
      <c r="F12" s="206"/>
      <c r="G12" s="496"/>
      <c r="H12" s="1"/>
      <c r="I12" s="159"/>
      <c r="J12" s="499"/>
      <c r="K12" s="55"/>
    </row>
    <row r="13" spans="1:11" s="11" customFormat="1" ht="12.75" customHeight="1">
      <c r="A13" s="565">
        <v>4</v>
      </c>
      <c r="B13" s="565"/>
      <c r="C13" s="117"/>
      <c r="D13" s="118" t="s">
        <v>2</v>
      </c>
      <c r="E13" s="495"/>
      <c r="F13" s="205">
        <f>G13/$G$28</f>
        <v>0.201</v>
      </c>
      <c r="G13" s="227">
        <f>_4</f>
        <v>6000000</v>
      </c>
      <c r="H13" s="113"/>
      <c r="I13" s="158">
        <v>1</v>
      </c>
      <c r="J13" s="325">
        <f>G13*I13</f>
        <v>6000000</v>
      </c>
      <c r="K13" s="56"/>
    </row>
    <row r="14" spans="2:11" ht="6.75" customHeight="1">
      <c r="B14" s="4"/>
      <c r="C14" s="6"/>
      <c r="D14" s="1"/>
      <c r="E14" s="1"/>
      <c r="F14" s="206"/>
      <c r="G14" s="496"/>
      <c r="H14" s="1"/>
      <c r="I14" s="160"/>
      <c r="J14" s="499"/>
      <c r="K14" s="54"/>
    </row>
    <row r="15" spans="1:11" s="12" customFormat="1" ht="12.75" customHeight="1">
      <c r="A15" s="565">
        <v>5</v>
      </c>
      <c r="B15" s="565"/>
      <c r="C15" s="117"/>
      <c r="D15" s="118" t="s">
        <v>9</v>
      </c>
      <c r="E15" s="495"/>
      <c r="F15" s="205">
        <f>G15/$G$28</f>
        <v>0.055</v>
      </c>
      <c r="G15" s="227">
        <f>_5</f>
        <v>1650000</v>
      </c>
      <c r="H15" s="113"/>
      <c r="I15" s="160"/>
      <c r="J15" s="499"/>
      <c r="K15" s="56"/>
    </row>
    <row r="16" spans="1:11" ht="12.75" customHeight="1">
      <c r="A16" s="569">
        <v>5</v>
      </c>
      <c r="B16" s="569"/>
      <c r="C16" s="128" t="s">
        <v>18</v>
      </c>
      <c r="D16" s="129" t="s">
        <v>282</v>
      </c>
      <c r="E16" s="129"/>
      <c r="F16" s="207"/>
      <c r="G16" s="226">
        <f>_5.01</f>
        <v>600000</v>
      </c>
      <c r="H16" s="113"/>
      <c r="I16" s="158">
        <v>1</v>
      </c>
      <c r="J16" s="325">
        <f>I16*G16</f>
        <v>600000</v>
      </c>
      <c r="K16" s="56"/>
    </row>
    <row r="17" spans="1:11" ht="12.75" customHeight="1">
      <c r="A17" s="566">
        <v>5</v>
      </c>
      <c r="B17" s="566"/>
      <c r="C17" s="130" t="s">
        <v>20</v>
      </c>
      <c r="D17" s="500" t="s">
        <v>283</v>
      </c>
      <c r="E17" s="500"/>
      <c r="F17" s="501"/>
      <c r="G17" s="226">
        <f>_5.02</f>
        <v>1000000</v>
      </c>
      <c r="H17" s="113"/>
      <c r="I17" s="158">
        <v>0.6</v>
      </c>
      <c r="J17" s="325">
        <f>I17*G17</f>
        <v>600000</v>
      </c>
      <c r="K17" s="56"/>
    </row>
    <row r="18" spans="1:11" ht="12.75" customHeight="1">
      <c r="A18" s="566">
        <v>5</v>
      </c>
      <c r="B18" s="566"/>
      <c r="C18" s="130" t="s">
        <v>21</v>
      </c>
      <c r="D18" s="131" t="s">
        <v>53</v>
      </c>
      <c r="E18" s="502"/>
      <c r="F18" s="208"/>
      <c r="G18" s="226">
        <f>_5.03</f>
        <v>50000</v>
      </c>
      <c r="H18" s="113"/>
      <c r="I18" s="158">
        <v>0</v>
      </c>
      <c r="J18" s="325">
        <f>G18*I18</f>
        <v>0</v>
      </c>
      <c r="K18" s="56"/>
    </row>
    <row r="19" spans="2:11" ht="6.75" customHeight="1">
      <c r="B19" s="13"/>
      <c r="C19" s="13"/>
      <c r="D19" s="14"/>
      <c r="E19" s="1"/>
      <c r="F19" s="206"/>
      <c r="G19" s="496"/>
      <c r="H19" s="1"/>
      <c r="I19" s="132"/>
      <c r="J19" s="498"/>
      <c r="K19" s="56"/>
    </row>
    <row r="20" spans="1:11" s="11" customFormat="1" ht="12.75" customHeight="1">
      <c r="A20" s="565">
        <v>6</v>
      </c>
      <c r="B20" s="565"/>
      <c r="C20" s="117"/>
      <c r="D20" s="118" t="s">
        <v>3</v>
      </c>
      <c r="E20" s="495"/>
      <c r="F20" s="205">
        <f>G20/$G$28</f>
        <v>0.017</v>
      </c>
      <c r="G20" s="227">
        <f>_6</f>
        <v>500000</v>
      </c>
      <c r="H20" s="113"/>
      <c r="I20" s="158">
        <v>1</v>
      </c>
      <c r="J20" s="325">
        <f>G20*I20</f>
        <v>500000</v>
      </c>
      <c r="K20" s="56"/>
    </row>
    <row r="21" spans="2:12" ht="6.75" customHeight="1">
      <c r="B21" s="17"/>
      <c r="C21" s="5"/>
      <c r="D21" s="1"/>
      <c r="E21" s="1"/>
      <c r="F21" s="209"/>
      <c r="G21" s="186"/>
      <c r="H21" s="1"/>
      <c r="I21" s="160"/>
      <c r="J21" s="499"/>
      <c r="K21" s="56"/>
      <c r="L21" s="34"/>
    </row>
    <row r="22" spans="1:11" s="12" customFormat="1" ht="12.75" customHeight="1">
      <c r="A22" s="565">
        <v>7</v>
      </c>
      <c r="B22" s="565"/>
      <c r="C22" s="117"/>
      <c r="D22" s="118" t="s">
        <v>284</v>
      </c>
      <c r="E22" s="495"/>
      <c r="F22" s="205">
        <f>G22/$G$28</f>
        <v>0.18</v>
      </c>
      <c r="G22" s="227">
        <f>_7</f>
        <v>5349398</v>
      </c>
      <c r="H22" s="113"/>
      <c r="I22" s="158">
        <v>0</v>
      </c>
      <c r="J22" s="325">
        <f>G22*I22</f>
        <v>0</v>
      </c>
      <c r="K22" s="56"/>
    </row>
    <row r="23" spans="2:12" ht="6.75" customHeight="1">
      <c r="B23" s="13"/>
      <c r="C23" s="13"/>
      <c r="D23" s="14"/>
      <c r="E23" s="1"/>
      <c r="F23" s="209"/>
      <c r="G23" s="223"/>
      <c r="H23" s="1"/>
      <c r="I23" s="132"/>
      <c r="J23" s="498"/>
      <c r="K23" s="56"/>
      <c r="L23" s="34"/>
    </row>
    <row r="24" spans="1:11" s="12" customFormat="1" ht="12.75" customHeight="1">
      <c r="A24" s="565">
        <v>8</v>
      </c>
      <c r="B24" s="565"/>
      <c r="C24" s="117"/>
      <c r="D24" s="118" t="s">
        <v>285</v>
      </c>
      <c r="E24" s="495"/>
      <c r="F24" s="205">
        <f>G24/$G$28</f>
        <v>0.001</v>
      </c>
      <c r="G24" s="227">
        <f>_8</f>
        <v>36000</v>
      </c>
      <c r="H24" s="113"/>
      <c r="I24" s="158">
        <v>0</v>
      </c>
      <c r="J24" s="325">
        <f>G24*I24</f>
        <v>0</v>
      </c>
      <c r="K24" s="56"/>
    </row>
    <row r="25" spans="2:12" ht="6.75" customHeight="1">
      <c r="B25" s="13"/>
      <c r="C25" s="13"/>
      <c r="D25" s="14"/>
      <c r="E25" s="1"/>
      <c r="F25" s="209"/>
      <c r="G25" s="186"/>
      <c r="H25" s="1"/>
      <c r="I25" s="159"/>
      <c r="J25" s="499"/>
      <c r="K25" s="55"/>
      <c r="L25" s="34"/>
    </row>
    <row r="26" spans="1:11" s="12" customFormat="1" ht="12.75" customHeight="1">
      <c r="A26" s="565">
        <v>9</v>
      </c>
      <c r="B26" s="565"/>
      <c r="C26" s="117"/>
      <c r="D26" s="118" t="s">
        <v>10</v>
      </c>
      <c r="E26" s="495"/>
      <c r="F26" s="205">
        <f>G26/$G$28</f>
        <v>0.054</v>
      </c>
      <c r="G26" s="227">
        <f>_9</f>
        <v>1600000</v>
      </c>
      <c r="H26" s="113"/>
      <c r="I26" s="158">
        <v>0.4</v>
      </c>
      <c r="J26" s="326">
        <f>G26*I26</f>
        <v>640000</v>
      </c>
      <c r="K26" s="56"/>
    </row>
    <row r="27" spans="2:12" ht="12" customHeight="1">
      <c r="B27" s="17"/>
      <c r="C27" s="5"/>
      <c r="D27" s="1"/>
      <c r="E27" s="1"/>
      <c r="F27" s="53"/>
      <c r="G27" s="1"/>
      <c r="H27" s="1"/>
      <c r="I27" s="1"/>
      <c r="J27" s="1"/>
      <c r="K27" s="1"/>
      <c r="L27" s="34"/>
    </row>
    <row r="28" spans="1:12" ht="12.75" customHeight="1">
      <c r="A28" s="106" t="s">
        <v>12</v>
      </c>
      <c r="B28" s="100"/>
      <c r="C28" s="100"/>
      <c r="D28" s="100"/>
      <c r="E28" s="100"/>
      <c r="F28" s="111">
        <f>SUM(F7:F26)</f>
        <v>1</v>
      </c>
      <c r="G28" s="134">
        <f>_EK</f>
        <v>29800398</v>
      </c>
      <c r="H28" s="101"/>
      <c r="I28" s="284"/>
      <c r="J28" s="33"/>
      <c r="K28" s="33"/>
      <c r="L28" s="34"/>
    </row>
    <row r="29" spans="2:12" ht="6" customHeight="1">
      <c r="B29" s="503"/>
      <c r="C29" s="13"/>
      <c r="D29" s="14"/>
      <c r="E29" s="1"/>
      <c r="F29" s="53"/>
      <c r="G29" s="14"/>
      <c r="H29" s="1"/>
      <c r="I29" s="19"/>
      <c r="J29" s="15"/>
      <c r="K29" s="1"/>
      <c r="L29" s="1"/>
    </row>
    <row r="30" spans="1:10" s="11" customFormat="1" ht="12.75" customHeight="1">
      <c r="A30" s="565"/>
      <c r="B30" s="565"/>
      <c r="C30" s="117" t="s">
        <v>286</v>
      </c>
      <c r="D30" s="118"/>
      <c r="E30" s="328"/>
      <c r="F30" s="205"/>
      <c r="G30" s="227">
        <f>_mvB</f>
        <v>150000</v>
      </c>
      <c r="H30" s="113"/>
      <c r="I30" s="158">
        <v>1</v>
      </c>
      <c r="J30" s="227">
        <f>G30*I30</f>
        <v>150000</v>
      </c>
    </row>
    <row r="31" spans="2:12" ht="6" customHeight="1">
      <c r="B31" s="503"/>
      <c r="C31" s="13"/>
      <c r="D31" s="14"/>
      <c r="E31" s="1"/>
      <c r="F31" s="53"/>
      <c r="G31" s="14"/>
      <c r="H31" s="1"/>
      <c r="I31" s="19"/>
      <c r="J31" s="15"/>
      <c r="K31" s="18"/>
      <c r="L31" s="34"/>
    </row>
    <row r="32" spans="1:11" s="20" customFormat="1" ht="12.75" customHeight="1">
      <c r="A32" s="504" t="s">
        <v>33</v>
      </c>
      <c r="B32" s="319"/>
      <c r="C32" s="319"/>
      <c r="D32" s="319"/>
      <c r="E32" s="319"/>
      <c r="F32" s="319"/>
      <c r="G32" s="319"/>
      <c r="H32" s="319"/>
      <c r="I32" s="320"/>
      <c r="J32" s="321">
        <f>SUM(J7:J30)</f>
        <v>23140000</v>
      </c>
      <c r="K32" s="70"/>
    </row>
    <row r="33" spans="2:12" s="22" customFormat="1" ht="12.75" customHeight="1">
      <c r="B33" s="25"/>
      <c r="C33" s="25"/>
      <c r="D33" s="23"/>
      <c r="E33" s="52"/>
      <c r="F33" s="52"/>
      <c r="G33" s="23"/>
      <c r="H33" s="52"/>
      <c r="I33" s="248"/>
      <c r="J33" s="248"/>
      <c r="K33" s="32"/>
      <c r="L33" s="51"/>
    </row>
    <row r="34" spans="2:12" ht="9" customHeight="1">
      <c r="B34" s="21"/>
      <c r="J34" s="505"/>
      <c r="L34" s="34"/>
    </row>
    <row r="35" spans="1:10" ht="6" customHeight="1">
      <c r="A35" s="251"/>
      <c r="B35" s="251"/>
      <c r="C35" s="251"/>
      <c r="D35" s="271"/>
      <c r="E35" s="283"/>
      <c r="F35" s="283"/>
      <c r="G35" s="271"/>
      <c r="H35" s="283"/>
      <c r="J35" s="506"/>
    </row>
    <row r="36" spans="1:11" ht="12.75" customHeight="1">
      <c r="A36" s="249" t="s">
        <v>115</v>
      </c>
      <c r="B36" s="249"/>
      <c r="C36" s="249"/>
      <c r="D36" s="250"/>
      <c r="E36" s="250"/>
      <c r="F36" s="250"/>
      <c r="G36" s="250"/>
      <c r="H36" s="250"/>
      <c r="I36" s="249"/>
      <c r="J36" s="507"/>
      <c r="K36" s="508"/>
    </row>
    <row r="37" spans="1:10" ht="6.75" customHeight="1">
      <c r="A37" s="251"/>
      <c r="B37" s="251"/>
      <c r="C37" s="251"/>
      <c r="D37" s="251"/>
      <c r="E37" s="252"/>
      <c r="F37" s="252"/>
      <c r="G37" s="251"/>
      <c r="H37" s="252"/>
      <c r="J37" s="506"/>
    </row>
    <row r="38" spans="1:11" ht="12.75" customHeight="1">
      <c r="A38" s="253" t="s">
        <v>89</v>
      </c>
      <c r="B38" s="254"/>
      <c r="C38" s="254"/>
      <c r="D38" s="254"/>
      <c r="E38" s="254"/>
      <c r="F38" s="254"/>
      <c r="G38" s="254"/>
      <c r="H38" s="254"/>
      <c r="I38" s="63"/>
      <c r="J38" s="506"/>
      <c r="K38" s="18"/>
    </row>
    <row r="39" spans="1:11" ht="12.75" customHeight="1">
      <c r="A39" s="27"/>
      <c r="B39" s="27"/>
      <c r="C39" s="27"/>
      <c r="D39" s="1"/>
      <c r="E39" s="1"/>
      <c r="F39" s="1"/>
      <c r="G39" s="255" t="s">
        <v>5</v>
      </c>
      <c r="H39" s="256" t="s">
        <v>4</v>
      </c>
      <c r="J39" s="424"/>
      <c r="K39" s="64"/>
    </row>
    <row r="40" spans="2:11" ht="12.75" customHeight="1">
      <c r="B40" s="28" t="s">
        <v>47</v>
      </c>
      <c r="C40" s="66"/>
      <c r="D40" s="57"/>
      <c r="E40" s="57"/>
      <c r="F40" s="57"/>
      <c r="G40" s="175">
        <v>15</v>
      </c>
      <c r="H40" s="257" t="s">
        <v>34</v>
      </c>
      <c r="I40" s="19"/>
      <c r="J40" s="424"/>
      <c r="K40" s="64"/>
    </row>
    <row r="41" spans="2:11" ht="12.75" customHeight="1">
      <c r="B41" s="29" t="s">
        <v>48</v>
      </c>
      <c r="C41" s="67"/>
      <c r="D41" s="58"/>
      <c r="E41" s="58"/>
      <c r="F41" s="58"/>
      <c r="G41" s="176">
        <v>2</v>
      </c>
      <c r="H41" s="258" t="s">
        <v>6</v>
      </c>
      <c r="I41" s="19"/>
      <c r="J41" s="424"/>
      <c r="K41" s="64"/>
    </row>
    <row r="42" spans="2:11" ht="12.75" customHeight="1">
      <c r="B42" s="29" t="s">
        <v>49</v>
      </c>
      <c r="C42" s="67"/>
      <c r="D42" s="58"/>
      <c r="E42" s="58"/>
      <c r="F42" s="58"/>
      <c r="G42" s="176">
        <v>1</v>
      </c>
      <c r="H42" s="258" t="s">
        <v>6</v>
      </c>
      <c r="I42" s="19"/>
      <c r="J42" s="424"/>
      <c r="K42" s="64"/>
    </row>
    <row r="43" spans="2:11" ht="12.75" customHeight="1">
      <c r="B43" s="29" t="s">
        <v>50</v>
      </c>
      <c r="C43" s="58"/>
      <c r="D43" s="58"/>
      <c r="E43" s="58"/>
      <c r="F43" s="58"/>
      <c r="G43" s="176">
        <v>2</v>
      </c>
      <c r="H43" s="258" t="s">
        <v>6</v>
      </c>
      <c r="I43" s="19"/>
      <c r="J43" s="424"/>
      <c r="K43" s="64"/>
    </row>
    <row r="44" spans="1:12" ht="4.5" customHeight="1">
      <c r="A44" s="44"/>
      <c r="B44" s="44"/>
      <c r="C44" s="44"/>
      <c r="D44" s="1"/>
      <c r="E44" s="1"/>
      <c r="F44" s="1"/>
      <c r="G44" s="259"/>
      <c r="H44" s="259"/>
      <c r="I44" s="63"/>
      <c r="J44" s="424"/>
      <c r="K44" s="64"/>
      <c r="L44" s="34"/>
    </row>
    <row r="45" spans="2:11" ht="12.75" customHeight="1">
      <c r="B45" s="27" t="s">
        <v>15</v>
      </c>
      <c r="C45" s="1"/>
      <c r="D45" s="260"/>
      <c r="E45" s="261"/>
      <c r="F45" s="261"/>
      <c r="G45" s="177">
        <v>0</v>
      </c>
      <c r="H45" s="261"/>
      <c r="J45" s="424"/>
      <c r="K45" s="1"/>
    </row>
    <row r="46" spans="1:12" ht="4.5" customHeight="1">
      <c r="A46" s="44"/>
      <c r="B46" s="44"/>
      <c r="C46" s="1"/>
      <c r="D46" s="261"/>
      <c r="E46" s="261"/>
      <c r="F46" s="261"/>
      <c r="G46" s="261"/>
      <c r="H46" s="261"/>
      <c r="I46" s="59"/>
      <c r="J46" s="424"/>
      <c r="K46" s="1"/>
      <c r="L46" s="34"/>
    </row>
    <row r="47" spans="2:11" ht="12.75" customHeight="1">
      <c r="B47" s="27" t="s">
        <v>46</v>
      </c>
      <c r="C47" s="1"/>
      <c r="D47" s="260"/>
      <c r="E47" s="261"/>
      <c r="F47" s="261"/>
      <c r="G47" s="262">
        <f>SUM(G40:G45)</f>
        <v>20</v>
      </c>
      <c r="H47" s="261"/>
      <c r="J47" s="424"/>
      <c r="K47" s="1"/>
    </row>
    <row r="48" spans="2:12" ht="12.75" customHeight="1">
      <c r="B48" s="44"/>
      <c r="C48" s="1"/>
      <c r="D48" s="261"/>
      <c r="E48" s="261"/>
      <c r="F48" s="261"/>
      <c r="G48" s="261"/>
      <c r="H48" s="261"/>
      <c r="I48" s="59"/>
      <c r="J48" s="424"/>
      <c r="K48" s="1"/>
      <c r="L48" s="34"/>
    </row>
    <row r="49" spans="1:11" ht="12.75" customHeight="1">
      <c r="A49" s="253" t="s">
        <v>16</v>
      </c>
      <c r="B49" s="253"/>
      <c r="C49" s="254"/>
      <c r="D49" s="254"/>
      <c r="E49" s="254"/>
      <c r="F49" s="254"/>
      <c r="G49" s="254"/>
      <c r="H49" s="254"/>
      <c r="I49" s="509"/>
      <c r="J49" s="1"/>
      <c r="K49" s="18"/>
    </row>
    <row r="50" spans="1:11" ht="4.5" customHeight="1">
      <c r="A50" s="263"/>
      <c r="B50" s="263"/>
      <c r="C50" s="263"/>
      <c r="D50" s="263"/>
      <c r="J50" s="1"/>
      <c r="K50" s="18"/>
    </row>
    <row r="51" spans="1:11" ht="12.75" customHeight="1">
      <c r="A51" s="264" t="s">
        <v>11</v>
      </c>
      <c r="B51" s="264"/>
      <c r="C51" s="1"/>
      <c r="G51" s="307">
        <f>J32</f>
        <v>23140000</v>
      </c>
      <c r="J51" s="1"/>
      <c r="K51" s="18"/>
    </row>
    <row r="52" spans="1:11" ht="7.5" customHeight="1">
      <c r="A52" s="30"/>
      <c r="B52" s="30"/>
      <c r="C52" s="30"/>
      <c r="D52" s="30"/>
      <c r="E52" s="26"/>
      <c r="F52" s="26"/>
      <c r="G52" s="260"/>
      <c r="J52" s="510"/>
      <c r="K52" s="18"/>
    </row>
    <row r="53" spans="1:12" s="165" customFormat="1" ht="12.75" customHeight="1">
      <c r="A53" s="30" t="s">
        <v>116</v>
      </c>
      <c r="B53" s="30"/>
      <c r="C53" s="30"/>
      <c r="G53" s="147">
        <f>0.02*G47+0.92</f>
        <v>1.32</v>
      </c>
      <c r="H53" s="511"/>
      <c r="I53" s="512"/>
      <c r="J53" s="513"/>
      <c r="K53" s="514"/>
      <c r="L53" s="515"/>
    </row>
    <row r="54" spans="1:11" ht="4.5" customHeight="1">
      <c r="A54" s="30"/>
      <c r="B54" s="30"/>
      <c r="C54" s="30"/>
      <c r="D54" s="1"/>
      <c r="E54" s="1"/>
      <c r="F54" s="1"/>
      <c r="G54" s="42"/>
      <c r="H54" s="180"/>
      <c r="J54" s="510"/>
      <c r="K54" s="18"/>
    </row>
    <row r="55" spans="1:12" s="165" customFormat="1" ht="12.75" customHeight="1">
      <c r="A55" s="30" t="s">
        <v>117</v>
      </c>
      <c r="B55" s="30"/>
      <c r="C55" s="30"/>
      <c r="G55" s="359">
        <f>ROUND(4.6*G51^(-0.15)*G53/100,6)</f>
        <v>0.004772</v>
      </c>
      <c r="H55" s="516"/>
      <c r="I55" s="512"/>
      <c r="J55" s="513"/>
      <c r="K55" s="514"/>
      <c r="L55" s="515"/>
    </row>
    <row r="56" spans="1:12" ht="12.75" customHeight="1">
      <c r="A56" s="54" t="s">
        <v>287</v>
      </c>
      <c r="B56" s="27"/>
      <c r="C56" s="1"/>
      <c r="D56" s="260"/>
      <c r="E56" s="261"/>
      <c r="F56" s="261"/>
      <c r="G56" s="517">
        <v>0.1</v>
      </c>
      <c r="H56" s="261"/>
      <c r="J56" s="424"/>
      <c r="K56" s="1"/>
      <c r="L56" s="1"/>
    </row>
    <row r="57" spans="1:11" ht="7.5" customHeight="1">
      <c r="A57" s="30"/>
      <c r="B57" s="30"/>
      <c r="C57" s="30"/>
      <c r="D57" s="1"/>
      <c r="E57" s="1"/>
      <c r="F57" s="1"/>
      <c r="G57" s="265"/>
      <c r="H57" s="265"/>
      <c r="J57" s="510"/>
      <c r="K57" s="18"/>
    </row>
    <row r="58" spans="1:11" ht="15" customHeight="1">
      <c r="A58" s="31" t="s">
        <v>288</v>
      </c>
      <c r="B58" s="28"/>
      <c r="C58" s="28"/>
      <c r="D58" s="266"/>
      <c r="E58" s="267"/>
      <c r="F58" s="267"/>
      <c r="G58" s="268"/>
      <c r="H58" s="518">
        <f>G51*G55*(1+G56)</f>
        <v>121466</v>
      </c>
      <c r="I58" s="71"/>
      <c r="J58" s="1"/>
      <c r="K58" s="18"/>
    </row>
    <row r="59" spans="1:12" ht="12.75" customHeight="1">
      <c r="A59" s="43"/>
      <c r="B59" s="44"/>
      <c r="C59" s="44"/>
      <c r="D59" s="269"/>
      <c r="E59" s="269"/>
      <c r="F59" s="269"/>
      <c r="G59" s="270"/>
      <c r="H59" s="270"/>
      <c r="I59" s="63"/>
      <c r="J59" s="45"/>
      <c r="K59" s="18"/>
      <c r="L59" s="34"/>
    </row>
    <row r="60" spans="1:12" ht="12.75" customHeight="1">
      <c r="A60" s="43"/>
      <c r="B60" s="44"/>
      <c r="C60" s="44"/>
      <c r="D60" s="269"/>
      <c r="E60" s="552" t="s">
        <v>329</v>
      </c>
      <c r="F60" s="553"/>
      <c r="G60" s="558" t="s">
        <v>5</v>
      </c>
      <c r="H60" s="270"/>
      <c r="I60" s="63"/>
      <c r="J60" s="45"/>
      <c r="K60" s="18"/>
      <c r="L60" s="34"/>
    </row>
    <row r="61" spans="1:10" ht="12.75" customHeight="1">
      <c r="A61" s="271" t="s">
        <v>54</v>
      </c>
      <c r="B61" s="271"/>
      <c r="C61" s="272"/>
      <c r="D61" s="1"/>
      <c r="E61" s="554">
        <v>0.02</v>
      </c>
      <c r="F61" s="555"/>
      <c r="G61" s="343">
        <v>0.02</v>
      </c>
      <c r="H61" s="285">
        <f>$H$58*G61</f>
        <v>2429</v>
      </c>
      <c r="I61" s="59"/>
      <c r="J61" s="238"/>
    </row>
    <row r="62" spans="1:10" ht="12.75" customHeight="1">
      <c r="A62" s="271" t="s">
        <v>36</v>
      </c>
      <c r="B62" s="271"/>
      <c r="C62" s="272"/>
      <c r="D62" s="1"/>
      <c r="E62" s="554">
        <v>0.04</v>
      </c>
      <c r="F62" s="555"/>
      <c r="G62" s="344">
        <v>0.04</v>
      </c>
      <c r="H62" s="285">
        <f aca="true" t="shared" si="0" ref="H62:H70">$H$58*G62</f>
        <v>4859</v>
      </c>
      <c r="I62" s="59"/>
      <c r="J62" s="238"/>
    </row>
    <row r="63" spans="1:10" ht="12.75" customHeight="1">
      <c r="A63" s="271" t="s">
        <v>37</v>
      </c>
      <c r="B63" s="271"/>
      <c r="C63" s="272"/>
      <c r="D63" s="1"/>
      <c r="E63" s="554">
        <v>0.06</v>
      </c>
      <c r="F63" s="555"/>
      <c r="G63" s="344">
        <v>0.06</v>
      </c>
      <c r="H63" s="285">
        <f t="shared" si="0"/>
        <v>7288</v>
      </c>
      <c r="I63" s="59"/>
      <c r="J63" s="238"/>
    </row>
    <row r="64" spans="1:10" ht="12.75" customHeight="1">
      <c r="A64" s="271" t="s">
        <v>38</v>
      </c>
      <c r="B64" s="271"/>
      <c r="C64" s="272"/>
      <c r="D64" s="1"/>
      <c r="E64" s="554">
        <v>0.04</v>
      </c>
      <c r="F64" s="555"/>
      <c r="G64" s="344">
        <v>0.04</v>
      </c>
      <c r="H64" s="285">
        <f t="shared" si="0"/>
        <v>4859</v>
      </c>
      <c r="I64" s="59"/>
      <c r="J64" s="238"/>
    </row>
    <row r="65" spans="1:10" ht="12.75" customHeight="1">
      <c r="A65" s="271" t="s">
        <v>39</v>
      </c>
      <c r="B65" s="271"/>
      <c r="C65" s="272"/>
      <c r="D65" s="1"/>
      <c r="E65" s="554">
        <v>0.1</v>
      </c>
      <c r="F65" s="555"/>
      <c r="G65" s="344">
        <v>0.1</v>
      </c>
      <c r="H65" s="285">
        <f t="shared" si="0"/>
        <v>12147</v>
      </c>
      <c r="I65" s="59"/>
      <c r="J65" s="238"/>
    </row>
    <row r="66" spans="1:10" ht="12.75" customHeight="1">
      <c r="A66" s="271" t="s">
        <v>40</v>
      </c>
      <c r="B66" s="271"/>
      <c r="C66" s="272"/>
      <c r="D66" s="1"/>
      <c r="E66" s="554">
        <v>0.03</v>
      </c>
      <c r="F66" s="555"/>
      <c r="G66" s="344">
        <v>0.03</v>
      </c>
      <c r="H66" s="285">
        <f t="shared" si="0"/>
        <v>3644</v>
      </c>
      <c r="I66" s="59"/>
      <c r="J66" s="238"/>
    </row>
    <row r="67" spans="1:12" ht="12.75" customHeight="1">
      <c r="A67" s="271" t="s">
        <v>41</v>
      </c>
      <c r="B67" s="271"/>
      <c r="C67" s="272"/>
      <c r="D67" s="1"/>
      <c r="E67" s="554">
        <v>0.01</v>
      </c>
      <c r="F67" s="555"/>
      <c r="G67" s="344">
        <v>0.01</v>
      </c>
      <c r="H67" s="285">
        <f t="shared" si="0"/>
        <v>1215</v>
      </c>
      <c r="I67" s="59"/>
      <c r="J67" s="238"/>
      <c r="L67" s="49"/>
    </row>
    <row r="68" spans="1:12" ht="12.75" customHeight="1">
      <c r="A68" s="271" t="s">
        <v>55</v>
      </c>
      <c r="B68" s="271"/>
      <c r="C68" s="272"/>
      <c r="D68" s="1"/>
      <c r="E68" s="554">
        <v>0</v>
      </c>
      <c r="F68" s="555"/>
      <c r="G68" s="344">
        <v>0</v>
      </c>
      <c r="H68" s="285">
        <f t="shared" si="0"/>
        <v>0</v>
      </c>
      <c r="I68" s="59"/>
      <c r="J68" s="238"/>
      <c r="L68" s="49"/>
    </row>
    <row r="69" spans="1:12" ht="12.75" customHeight="1">
      <c r="A69" s="251" t="s">
        <v>118</v>
      </c>
      <c r="B69" s="251"/>
      <c r="C69" s="272"/>
      <c r="D69" s="1"/>
      <c r="E69" s="554">
        <v>0.7</v>
      </c>
      <c r="F69" s="555"/>
      <c r="G69" s="344">
        <v>0.7</v>
      </c>
      <c r="H69" s="285">
        <f t="shared" si="0"/>
        <v>85026</v>
      </c>
      <c r="I69" s="59"/>
      <c r="J69" s="238"/>
      <c r="L69" s="49"/>
    </row>
    <row r="70" spans="1:12" ht="12.75" customHeight="1">
      <c r="A70" s="276" t="s">
        <v>56</v>
      </c>
      <c r="B70" s="276"/>
      <c r="C70" s="277"/>
      <c r="D70" s="57"/>
      <c r="E70" s="556">
        <v>0</v>
      </c>
      <c r="F70" s="557"/>
      <c r="G70" s="345">
        <v>0</v>
      </c>
      <c r="H70" s="286">
        <f t="shared" si="0"/>
        <v>0</v>
      </c>
      <c r="I70" s="63"/>
      <c r="J70" s="238"/>
      <c r="L70" s="49"/>
    </row>
    <row r="71" spans="1:12" ht="13.5" customHeight="1">
      <c r="A71" s="280" t="s">
        <v>45</v>
      </c>
      <c r="B71" s="251"/>
      <c r="C71" s="30"/>
      <c r="D71" s="1"/>
      <c r="E71" s="281"/>
      <c r="F71" s="281"/>
      <c r="G71" s="346">
        <f>SUM(G61:G70)</f>
        <v>1</v>
      </c>
      <c r="H71" s="287">
        <f>SUM(H61:H70)</f>
        <v>121467</v>
      </c>
      <c r="J71" s="519">
        <f>H71</f>
        <v>121467</v>
      </c>
      <c r="L71" s="49"/>
    </row>
    <row r="72" spans="7:12" ht="12.75" customHeight="1">
      <c r="G72" s="347"/>
      <c r="J72" s="238"/>
      <c r="L72" s="49"/>
    </row>
    <row r="73" spans="1:14" ht="12.75" customHeight="1">
      <c r="A73" s="54" t="s">
        <v>171</v>
      </c>
      <c r="G73" s="355">
        <v>0</v>
      </c>
      <c r="H73" s="356">
        <v>0</v>
      </c>
      <c r="J73" s="519">
        <f>G73*H73</f>
        <v>0</v>
      </c>
      <c r="L73" s="49"/>
      <c r="M73" s="49"/>
      <c r="N73" s="49"/>
    </row>
    <row r="74" spans="7:12" ht="12.75" customHeight="1">
      <c r="G74" s="347"/>
      <c r="J74" s="238"/>
      <c r="L74" s="49"/>
    </row>
    <row r="75" spans="1:12" s="35" customFormat="1" ht="12.75">
      <c r="A75" s="141" t="s">
        <v>289</v>
      </c>
      <c r="B75" s="142"/>
      <c r="C75" s="143"/>
      <c r="D75" s="143"/>
      <c r="E75" s="144"/>
      <c r="F75" s="145"/>
      <c r="G75" s="348"/>
      <c r="H75" s="144"/>
      <c r="I75" s="144"/>
      <c r="J75" s="146">
        <f>J71+J73</f>
        <v>121467</v>
      </c>
      <c r="K75" s="39"/>
      <c r="L75" s="91"/>
    </row>
    <row r="76" spans="2:12" s="35" customFormat="1" ht="4.5" customHeight="1">
      <c r="B76" s="36"/>
      <c r="C76" s="37"/>
      <c r="D76" s="37"/>
      <c r="E76" s="72"/>
      <c r="F76" s="73"/>
      <c r="G76" s="341"/>
      <c r="H76" s="102"/>
      <c r="J76" s="135"/>
      <c r="K76" s="39"/>
      <c r="L76" s="93"/>
    </row>
    <row r="77" spans="1:12" s="35" customFormat="1" ht="12.75">
      <c r="A77" s="75" t="s">
        <v>13</v>
      </c>
      <c r="B77" s="36"/>
      <c r="C77" s="37"/>
      <c r="D77" s="37"/>
      <c r="E77" s="83"/>
      <c r="F77" s="83"/>
      <c r="G77" s="338">
        <v>0.04</v>
      </c>
      <c r="H77" s="103"/>
      <c r="I77" s="40"/>
      <c r="J77" s="136">
        <f>ROUND(J75*G77,2)</f>
        <v>4859</v>
      </c>
      <c r="K77" s="39"/>
      <c r="L77" s="93"/>
    </row>
    <row r="78" spans="1:12" s="35" customFormat="1" ht="3" customHeight="1">
      <c r="A78" s="76"/>
      <c r="B78" s="77"/>
      <c r="C78" s="78"/>
      <c r="D78" s="78"/>
      <c r="E78" s="85"/>
      <c r="F78" s="85"/>
      <c r="G78" s="339"/>
      <c r="H78" s="104"/>
      <c r="I78" s="76"/>
      <c r="J78" s="137"/>
      <c r="K78" s="39"/>
      <c r="L78" s="93"/>
    </row>
    <row r="79" spans="2:12" s="35" customFormat="1" ht="3" customHeight="1">
      <c r="B79" s="36"/>
      <c r="C79" s="37"/>
      <c r="D79" s="37"/>
      <c r="E79" s="79"/>
      <c r="F79" s="79"/>
      <c r="G79" s="341"/>
      <c r="H79" s="102"/>
      <c r="J79" s="135"/>
      <c r="K79" s="39"/>
      <c r="L79" s="93"/>
    </row>
    <row r="80" spans="1:12" s="35" customFormat="1" ht="12.75">
      <c r="A80" s="80" t="s">
        <v>290</v>
      </c>
      <c r="B80" s="81"/>
      <c r="C80" s="82"/>
      <c r="D80" s="82"/>
      <c r="E80" s="38"/>
      <c r="F80" s="38"/>
      <c r="G80" s="337"/>
      <c r="H80" s="103"/>
      <c r="I80" s="40"/>
      <c r="J80" s="138">
        <f>J75+J77</f>
        <v>126326</v>
      </c>
      <c r="K80" s="39"/>
      <c r="L80" s="97"/>
    </row>
    <row r="81" spans="1:12" s="35" customFormat="1" ht="12.75">
      <c r="A81" s="35" t="s">
        <v>14</v>
      </c>
      <c r="B81" s="36"/>
      <c r="D81" s="37"/>
      <c r="E81" s="79"/>
      <c r="F81" s="79"/>
      <c r="G81" s="41">
        <v>0.2</v>
      </c>
      <c r="H81" s="41"/>
      <c r="J81" s="139">
        <f>ROUND(J80*G81,2)</f>
        <v>25265</v>
      </c>
      <c r="K81" s="39"/>
      <c r="L81" s="93"/>
    </row>
    <row r="82" spans="1:12" s="35" customFormat="1" ht="3" customHeight="1">
      <c r="A82" s="40"/>
      <c r="B82" s="308"/>
      <c r="C82" s="87"/>
      <c r="D82" s="87"/>
      <c r="E82" s="79"/>
      <c r="F82" s="79"/>
      <c r="G82" s="74"/>
      <c r="H82" s="102"/>
      <c r="J82" s="140"/>
      <c r="K82" s="39"/>
      <c r="L82" s="93"/>
    </row>
    <row r="83" spans="1:12" s="40" customFormat="1" ht="12.75">
      <c r="A83" s="296" t="s">
        <v>291</v>
      </c>
      <c r="B83" s="309"/>
      <c r="C83" s="297"/>
      <c r="D83" s="297"/>
      <c r="E83" s="298"/>
      <c r="F83" s="299"/>
      <c r="G83" s="300"/>
      <c r="H83" s="300"/>
      <c r="I83" s="298"/>
      <c r="J83" s="301">
        <f>SUM(J80:J81)</f>
        <v>151591</v>
      </c>
      <c r="K83" s="39"/>
      <c r="L83" s="97"/>
    </row>
    <row r="84" ht="4.5" customHeight="1">
      <c r="L84" s="49"/>
    </row>
    <row r="85" spans="1:12" ht="15">
      <c r="A85" s="311" t="s">
        <v>136</v>
      </c>
      <c r="G85" s="520">
        <f>J80/G28</f>
        <v>0.004239</v>
      </c>
      <c r="L85" s="49"/>
    </row>
  </sheetData>
  <sheetProtection password="D2DC" sheet="1"/>
  <mergeCells count="14">
    <mergeCell ref="I2:J2"/>
    <mergeCell ref="A7:B7"/>
    <mergeCell ref="A9:B9"/>
    <mergeCell ref="A11:B11"/>
    <mergeCell ref="A13:B13"/>
    <mergeCell ref="A15:B15"/>
    <mergeCell ref="A26:B26"/>
    <mergeCell ref="A30:B30"/>
    <mergeCell ref="A16:B16"/>
    <mergeCell ref="A17:B17"/>
    <mergeCell ref="A18:B18"/>
    <mergeCell ref="A20:B20"/>
    <mergeCell ref="A22:B22"/>
    <mergeCell ref="A24:B24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2:P97"/>
  <sheetViews>
    <sheetView showGridLines="0" zoomScale="85" zoomScaleNormal="85" zoomScaleSheetLayoutView="85" zoomScalePageLayoutView="70" workbookViewId="0" topLeftCell="A37">
      <selection activeCell="O72" sqref="O72"/>
    </sheetView>
  </sheetViews>
  <sheetFormatPr defaultColWidth="11.57421875" defaultRowHeight="15"/>
  <cols>
    <col min="1" max="1" width="0.85546875" style="1" customWidth="1"/>
    <col min="2" max="2" width="2.28125" style="7" customWidth="1"/>
    <col min="3" max="3" width="3.28125" style="7" customWidth="1"/>
    <col min="4" max="4" width="33.7109375" style="8" customWidth="1"/>
    <col min="5" max="5" width="4.7109375" style="46" customWidth="1"/>
    <col min="6" max="6" width="5.7109375" style="46" customWidth="1"/>
    <col min="7" max="7" width="12.7109375" style="8" customWidth="1"/>
    <col min="8" max="8" width="2.28125" style="46" customWidth="1"/>
    <col min="9" max="9" width="12.7109375" style="46" customWidth="1"/>
    <col min="10" max="10" width="9.7109375" style="46" customWidth="1"/>
    <col min="11" max="11" width="1.7109375" style="46" customWidth="1"/>
    <col min="12" max="12" width="5.28125" style="9" customWidth="1" collapsed="1"/>
    <col min="13" max="13" width="12.7109375" style="10" customWidth="1"/>
    <col min="14" max="14" width="2.7109375" style="65" customWidth="1"/>
    <col min="15" max="15" width="62.8515625" style="0" bestFit="1" customWidth="1"/>
    <col min="16" max="16" width="11.57421875" style="0" customWidth="1"/>
    <col min="17" max="16384" width="11.57421875" style="1" customWidth="1"/>
  </cols>
  <sheetData>
    <row r="1" ht="4.5" customHeight="1"/>
    <row r="2" spans="1:16" s="60" customFormat="1" ht="34.5" customHeight="1">
      <c r="A2" s="161" t="s">
        <v>137</v>
      </c>
      <c r="C2" s="13"/>
      <c r="D2" s="112"/>
      <c r="G2" s="61"/>
      <c r="H2" s="61"/>
      <c r="I2" s="61"/>
      <c r="J2" s="61"/>
      <c r="K2" s="61"/>
      <c r="L2" s="570" t="s">
        <v>104</v>
      </c>
      <c r="M2" s="570"/>
      <c r="N2" s="68"/>
      <c r="O2" s="62"/>
      <c r="P2" s="62"/>
    </row>
    <row r="3" spans="1:14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  <c r="N3" s="2"/>
    </row>
    <row r="4" spans="7:14" s="11" customFormat="1" ht="6" customHeight="1">
      <c r="G4" s="194"/>
      <c r="M4" s="2"/>
      <c r="N4" s="2"/>
    </row>
    <row r="5" spans="6:14" s="11" customFormat="1" ht="12.75" customHeight="1">
      <c r="F5" s="109" t="s">
        <v>88</v>
      </c>
      <c r="G5" s="133" t="s">
        <v>122</v>
      </c>
      <c r="H5" s="50"/>
      <c r="I5" s="50"/>
      <c r="J5" s="50"/>
      <c r="K5" s="50"/>
      <c r="L5" s="16" t="s">
        <v>17</v>
      </c>
      <c r="M5" s="133" t="s">
        <v>52</v>
      </c>
      <c r="N5" s="50"/>
    </row>
    <row r="6" spans="7:14" s="11" customFormat="1" ht="6" customHeight="1">
      <c r="G6" s="195"/>
      <c r="H6" s="107"/>
      <c r="M6" s="2"/>
      <c r="N6" s="2"/>
    </row>
    <row r="7" spans="1:14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G7/$G$37</f>
        <v>0.001</v>
      </c>
      <c r="G7" s="227">
        <f>_1</f>
        <v>15000</v>
      </c>
      <c r="H7" s="3"/>
      <c r="I7" s="113"/>
      <c r="J7" s="113"/>
      <c r="K7" s="113"/>
      <c r="L7" s="361">
        <v>0</v>
      </c>
      <c r="M7" s="228">
        <f>G7*L7</f>
        <v>0</v>
      </c>
      <c r="N7" s="56"/>
    </row>
    <row r="8" spans="2:14" ht="6.75" customHeight="1">
      <c r="B8" s="4"/>
      <c r="C8" s="6"/>
      <c r="D8" s="1"/>
      <c r="E8" s="1"/>
      <c r="F8" s="206"/>
      <c r="G8" s="222"/>
      <c r="H8" s="148"/>
      <c r="I8" s="1"/>
      <c r="J8" s="1"/>
      <c r="K8" s="1"/>
      <c r="L8" s="362"/>
      <c r="M8" s="222"/>
      <c r="N8" s="69"/>
    </row>
    <row r="9" spans="1:14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G9/$G$37</f>
        <v>0.302</v>
      </c>
      <c r="G9" s="227">
        <f>_2</f>
        <v>9000000</v>
      </c>
      <c r="H9" s="3"/>
      <c r="I9" s="113"/>
      <c r="J9" s="113"/>
      <c r="K9" s="113"/>
      <c r="L9" s="361">
        <v>1</v>
      </c>
      <c r="M9" s="228">
        <f>G9*L9</f>
        <v>9000000</v>
      </c>
      <c r="N9" s="56"/>
    </row>
    <row r="10" spans="2:14" ht="6.75" customHeight="1">
      <c r="B10" s="13"/>
      <c r="C10" s="13"/>
      <c r="D10" s="14"/>
      <c r="E10" s="14"/>
      <c r="F10" s="206"/>
      <c r="G10" s="223"/>
      <c r="H10" s="148"/>
      <c r="I10" s="1"/>
      <c r="J10" s="1"/>
      <c r="K10" s="1"/>
      <c r="L10" s="362"/>
      <c r="M10" s="223"/>
      <c r="N10" s="56"/>
    </row>
    <row r="11" spans="1:14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G11/$G$37</f>
        <v>0.19</v>
      </c>
      <c r="G11" s="228">
        <f>_3</f>
        <v>5650000</v>
      </c>
      <c r="H11" s="3"/>
      <c r="I11" s="113"/>
      <c r="J11" s="113"/>
      <c r="K11" s="113"/>
      <c r="L11" s="366">
        <f>IF(G11&gt;J15,"Abminderung",100%)</f>
        <v>1</v>
      </c>
      <c r="M11" s="228">
        <f>IF(L11="Abminderung",J15,G11*L11)</f>
        <v>5650000</v>
      </c>
      <c r="N11" s="56"/>
    </row>
    <row r="12" spans="1:14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33"/>
      <c r="L12" s="63"/>
      <c r="M12" s="18"/>
      <c r="N12" s="56"/>
    </row>
    <row r="13" spans="1:14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33"/>
      <c r="L13" s="63"/>
      <c r="M13" s="186"/>
      <c r="N13" s="56"/>
    </row>
    <row r="14" spans="1:14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33"/>
      <c r="I14" s="152" t="s">
        <v>90</v>
      </c>
      <c r="J14" s="363">
        <f>G9+G22</f>
        <v>15000000</v>
      </c>
      <c r="K14" s="152"/>
      <c r="L14" s="108"/>
      <c r="M14" s="186"/>
      <c r="N14" s="56"/>
    </row>
    <row r="15" spans="1:15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33"/>
      <c r="I15" s="153" t="s">
        <v>91</v>
      </c>
      <c r="J15" s="363">
        <f>J14*0.5</f>
        <v>7500000</v>
      </c>
      <c r="K15" s="153"/>
      <c r="L15" s="367"/>
      <c r="M15" s="364">
        <f>IF(L11="Abminderung",G11-J15,"")</f>
      </c>
      <c r="N15" s="56"/>
      <c r="O15" s="521"/>
    </row>
    <row r="16" spans="1:15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33"/>
      <c r="I16" s="151" t="s">
        <v>57</v>
      </c>
      <c r="J16" s="151"/>
      <c r="K16" s="151"/>
      <c r="L16" s="108"/>
      <c r="M16" s="571">
        <f>IF(L11="Abminderung","$","")</f>
      </c>
      <c r="N16" s="56"/>
      <c r="O16" s="521"/>
    </row>
    <row r="17" spans="1:15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33"/>
      <c r="I17" s="151" t="s">
        <v>59</v>
      </c>
      <c r="J17" s="151"/>
      <c r="K17" s="151"/>
      <c r="L17" s="108"/>
      <c r="M17" s="571"/>
      <c r="N17" s="56"/>
      <c r="O17" s="47"/>
    </row>
    <row r="18" spans="1:15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33"/>
      <c r="I18" s="151" t="s">
        <v>58</v>
      </c>
      <c r="J18" s="151"/>
      <c r="K18" s="151"/>
      <c r="L18" s="108"/>
      <c r="M18" s="571"/>
      <c r="N18" s="56"/>
      <c r="O18" s="47"/>
    </row>
    <row r="19" spans="1:15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33"/>
      <c r="I19" s="151" t="s">
        <v>92</v>
      </c>
      <c r="J19" s="151"/>
      <c r="K19" s="151"/>
      <c r="L19" s="108"/>
      <c r="M19" s="571"/>
      <c r="N19" s="56"/>
      <c r="O19" s="47"/>
    </row>
    <row r="20" spans="1:15" ht="12.75" customHeight="1">
      <c r="A20" s="4"/>
      <c r="B20" s="4"/>
      <c r="C20" s="5"/>
      <c r="D20" s="358" t="s">
        <v>174</v>
      </c>
      <c r="E20" s="358"/>
      <c r="F20" s="206"/>
      <c r="G20" s="186"/>
      <c r="H20" s="33"/>
      <c r="I20" s="360"/>
      <c r="J20" s="360"/>
      <c r="K20" s="360"/>
      <c r="L20" s="366">
        <f>IF(L11="Abminderung",50%,"")</f>
      </c>
      <c r="M20" s="228">
        <f>IF(L11="Abminderung",(G11-J15)*L20,"")</f>
      </c>
      <c r="N20" s="56"/>
      <c r="O20" s="47"/>
    </row>
    <row r="21" spans="2:14" ht="6.75" customHeight="1">
      <c r="B21" s="13"/>
      <c r="C21" s="13"/>
      <c r="D21" s="14"/>
      <c r="E21" s="14"/>
      <c r="F21" s="206"/>
      <c r="G21" s="186"/>
      <c r="H21" s="148"/>
      <c r="I21" s="1"/>
      <c r="J21" s="1"/>
      <c r="K21" s="1"/>
      <c r="L21" s="365"/>
      <c r="M21" s="186"/>
      <c r="N21" s="55"/>
    </row>
    <row r="22" spans="1:14" s="11" customFormat="1" ht="12.75" customHeight="1">
      <c r="A22" s="565">
        <v>4</v>
      </c>
      <c r="B22" s="565"/>
      <c r="C22" s="117"/>
      <c r="D22" s="118" t="s">
        <v>2</v>
      </c>
      <c r="E22" s="118"/>
      <c r="F22" s="205">
        <f>G22/$G$37</f>
        <v>0.201</v>
      </c>
      <c r="G22" s="227">
        <f>_4</f>
        <v>6000000</v>
      </c>
      <c r="H22" s="3"/>
      <c r="I22" s="113"/>
      <c r="J22" s="113"/>
      <c r="K22" s="113"/>
      <c r="L22" s="361">
        <v>1</v>
      </c>
      <c r="M22" s="228">
        <f>G22*L22</f>
        <v>6000000</v>
      </c>
      <c r="N22" s="56"/>
    </row>
    <row r="23" spans="2:15" ht="6.75" customHeight="1">
      <c r="B23" s="4"/>
      <c r="C23" s="6"/>
      <c r="D23" s="1"/>
      <c r="E23" s="1"/>
      <c r="F23" s="206"/>
      <c r="G23" s="186"/>
      <c r="H23" s="148"/>
      <c r="I23" s="1"/>
      <c r="J23" s="1"/>
      <c r="K23" s="1"/>
      <c r="L23" s="108"/>
      <c r="M23" s="186"/>
      <c r="N23" s="54"/>
      <c r="O23" s="48"/>
    </row>
    <row r="24" spans="1:14" s="12" customFormat="1" ht="12.75" customHeight="1">
      <c r="A24" s="565">
        <v>5</v>
      </c>
      <c r="B24" s="565"/>
      <c r="C24" s="117"/>
      <c r="D24" s="118" t="s">
        <v>9</v>
      </c>
      <c r="E24" s="118"/>
      <c r="F24" s="205">
        <f>G24/$G$37</f>
        <v>0.055</v>
      </c>
      <c r="G24" s="229">
        <f>_5</f>
        <v>1650000</v>
      </c>
      <c r="H24" s="3"/>
      <c r="I24" s="113"/>
      <c r="J24" s="113"/>
      <c r="K24" s="113"/>
      <c r="L24" s="108"/>
      <c r="M24" s="186"/>
      <c r="N24" s="56"/>
    </row>
    <row r="25" spans="1:15" ht="12.75" customHeight="1">
      <c r="A25" s="569">
        <v>5</v>
      </c>
      <c r="B25" s="569"/>
      <c r="C25" s="128" t="s">
        <v>18</v>
      </c>
      <c r="D25" s="129" t="s">
        <v>282</v>
      </c>
      <c r="E25" s="129"/>
      <c r="F25" s="207"/>
      <c r="G25" s="225">
        <f>_5.01</f>
        <v>600000</v>
      </c>
      <c r="H25" s="148"/>
      <c r="I25" s="113"/>
      <c r="J25" s="113"/>
      <c r="K25" s="113"/>
      <c r="L25" s="157">
        <v>0</v>
      </c>
      <c r="M25" s="229">
        <f>L25*G25</f>
        <v>0</v>
      </c>
      <c r="N25" s="56"/>
      <c r="O25" s="48"/>
    </row>
    <row r="26" spans="1:15" ht="12.75" customHeight="1">
      <c r="A26" s="566">
        <v>5</v>
      </c>
      <c r="B26" s="566"/>
      <c r="C26" s="130" t="s">
        <v>20</v>
      </c>
      <c r="D26" s="500" t="s">
        <v>283</v>
      </c>
      <c r="E26" s="500"/>
      <c r="F26" s="501"/>
      <c r="G26" s="225">
        <f>_5.02</f>
        <v>1000000</v>
      </c>
      <c r="H26" s="148"/>
      <c r="I26" s="113"/>
      <c r="J26" s="113"/>
      <c r="K26" s="113"/>
      <c r="L26" s="157">
        <v>0</v>
      </c>
      <c r="M26" s="229">
        <f>L26*G26</f>
        <v>0</v>
      </c>
      <c r="N26" s="56"/>
      <c r="O26" s="48"/>
    </row>
    <row r="27" spans="1:15" ht="12.75" customHeight="1">
      <c r="A27" s="566">
        <v>5</v>
      </c>
      <c r="B27" s="566"/>
      <c r="C27" s="130" t="s">
        <v>21</v>
      </c>
      <c r="D27" s="131" t="s">
        <v>53</v>
      </c>
      <c r="E27" s="131"/>
      <c r="F27" s="208"/>
      <c r="G27" s="225">
        <f>_5.03</f>
        <v>50000</v>
      </c>
      <c r="H27" s="148"/>
      <c r="I27" s="113"/>
      <c r="J27" s="113"/>
      <c r="K27" s="113"/>
      <c r="L27" s="361">
        <v>0</v>
      </c>
      <c r="M27" s="228">
        <f>G27*L27</f>
        <v>0</v>
      </c>
      <c r="N27" s="56"/>
      <c r="O27" s="48"/>
    </row>
    <row r="28" spans="2:15" ht="6.75" customHeight="1">
      <c r="B28" s="13"/>
      <c r="C28" s="13"/>
      <c r="D28" s="14"/>
      <c r="E28" s="14"/>
      <c r="F28" s="206"/>
      <c r="G28" s="223"/>
      <c r="H28" s="148"/>
      <c r="I28" s="1"/>
      <c r="J28" s="1"/>
      <c r="K28" s="1"/>
      <c r="L28" s="362"/>
      <c r="M28" s="223"/>
      <c r="N28" s="56"/>
      <c r="O28" s="48"/>
    </row>
    <row r="29" spans="1:14" s="11" customFormat="1" ht="12.75" customHeight="1">
      <c r="A29" s="565">
        <v>6</v>
      </c>
      <c r="B29" s="565"/>
      <c r="C29" s="117"/>
      <c r="D29" s="118" t="s">
        <v>3</v>
      </c>
      <c r="E29" s="118"/>
      <c r="F29" s="205">
        <f>G29/$G$37</f>
        <v>0.017</v>
      </c>
      <c r="G29" s="227">
        <f>_6</f>
        <v>500000</v>
      </c>
      <c r="H29" s="3"/>
      <c r="I29" s="113"/>
      <c r="J29" s="113"/>
      <c r="K29" s="113"/>
      <c r="L29" s="361">
        <v>0</v>
      </c>
      <c r="M29" s="228">
        <f>G29*L29</f>
        <v>0</v>
      </c>
      <c r="N29" s="56"/>
    </row>
    <row r="30" spans="2:16" ht="6.75" customHeight="1">
      <c r="B30" s="17"/>
      <c r="C30" s="5"/>
      <c r="D30" s="1"/>
      <c r="E30" s="1"/>
      <c r="F30" s="209"/>
      <c r="G30" s="186"/>
      <c r="H30" s="148"/>
      <c r="I30" s="1"/>
      <c r="J30" s="1"/>
      <c r="K30" s="1"/>
      <c r="L30" s="108"/>
      <c r="M30" s="186"/>
      <c r="N30" s="56"/>
      <c r="O30" s="18"/>
      <c r="P30" s="34"/>
    </row>
    <row r="31" spans="1:15" s="12" customFormat="1" ht="12.75" customHeight="1">
      <c r="A31" s="565">
        <v>7</v>
      </c>
      <c r="B31" s="565"/>
      <c r="C31" s="117"/>
      <c r="D31" s="118" t="s">
        <v>143</v>
      </c>
      <c r="E31" s="118"/>
      <c r="F31" s="205">
        <f>G31/$G$37</f>
        <v>0.18</v>
      </c>
      <c r="G31" s="227">
        <f>_7</f>
        <v>5349398</v>
      </c>
      <c r="H31" s="3"/>
      <c r="I31" s="113"/>
      <c r="J31" s="113"/>
      <c r="K31" s="113"/>
      <c r="L31" s="361">
        <v>0</v>
      </c>
      <c r="M31" s="228">
        <f>G31*L31</f>
        <v>0</v>
      </c>
      <c r="N31" s="56"/>
      <c r="O31" s="3"/>
    </row>
    <row r="32" spans="2:16" ht="6.75" customHeight="1">
      <c r="B32" s="13"/>
      <c r="C32" s="13"/>
      <c r="D32" s="14"/>
      <c r="E32" s="14"/>
      <c r="F32" s="209"/>
      <c r="G32" s="223"/>
      <c r="H32" s="148"/>
      <c r="I32" s="1"/>
      <c r="J32" s="1"/>
      <c r="K32" s="1"/>
      <c r="L32" s="362"/>
      <c r="M32" s="223"/>
      <c r="N32" s="56"/>
      <c r="O32" s="18"/>
      <c r="P32" s="34"/>
    </row>
    <row r="33" spans="1:15" s="12" customFormat="1" ht="12.75" customHeight="1">
      <c r="A33" s="565">
        <v>8</v>
      </c>
      <c r="B33" s="565"/>
      <c r="C33" s="117"/>
      <c r="D33" s="118" t="s">
        <v>135</v>
      </c>
      <c r="E33" s="118"/>
      <c r="F33" s="205">
        <f>G33/$G$37</f>
        <v>0.001</v>
      </c>
      <c r="G33" s="227">
        <f>_8</f>
        <v>36000</v>
      </c>
      <c r="H33" s="3"/>
      <c r="I33" s="113"/>
      <c r="J33" s="113"/>
      <c r="K33" s="113"/>
      <c r="L33" s="361">
        <v>0</v>
      </c>
      <c r="M33" s="228">
        <f>G33*L33</f>
        <v>0</v>
      </c>
      <c r="N33" s="56"/>
      <c r="O33" s="50"/>
    </row>
    <row r="34" spans="2:16" ht="6.75" customHeight="1">
      <c r="B34" s="13"/>
      <c r="C34" s="13"/>
      <c r="D34" s="14"/>
      <c r="E34" s="14"/>
      <c r="F34" s="209"/>
      <c r="G34" s="186"/>
      <c r="H34" s="148"/>
      <c r="I34" s="1"/>
      <c r="J34" s="1"/>
      <c r="K34" s="1"/>
      <c r="L34" s="365"/>
      <c r="M34" s="186"/>
      <c r="N34" s="55"/>
      <c r="O34" s="33"/>
      <c r="P34" s="34"/>
    </row>
    <row r="35" spans="1:15" s="12" customFormat="1" ht="12.75" customHeight="1">
      <c r="A35" s="565">
        <v>9</v>
      </c>
      <c r="B35" s="565"/>
      <c r="C35" s="117"/>
      <c r="D35" s="118" t="s">
        <v>10</v>
      </c>
      <c r="E35" s="118"/>
      <c r="F35" s="205">
        <f>G35/$G$37</f>
        <v>0.054</v>
      </c>
      <c r="G35" s="227">
        <f>_9</f>
        <v>1600000</v>
      </c>
      <c r="H35" s="3"/>
      <c r="I35" s="113"/>
      <c r="J35" s="113"/>
      <c r="K35" s="113"/>
      <c r="L35" s="361">
        <v>0.1</v>
      </c>
      <c r="M35" s="228">
        <f>G35*L35</f>
        <v>160000</v>
      </c>
      <c r="N35" s="56"/>
      <c r="O35" s="33"/>
    </row>
    <row r="36" spans="2:16" ht="12" customHeight="1">
      <c r="B36" s="17"/>
      <c r="C36" s="5"/>
      <c r="D36" s="1"/>
      <c r="E36" s="1"/>
      <c r="F36" s="53"/>
      <c r="G36" s="1"/>
      <c r="H36" s="1"/>
      <c r="I36" s="1"/>
      <c r="J36" s="1"/>
      <c r="K36" s="1"/>
      <c r="L36" s="1"/>
      <c r="M36" s="1"/>
      <c r="N36" s="1"/>
      <c r="O36" s="33"/>
      <c r="P36" s="34"/>
    </row>
    <row r="37" spans="1:16" ht="12.75" customHeight="1">
      <c r="A37" s="169" t="s">
        <v>12</v>
      </c>
      <c r="B37" s="170"/>
      <c r="C37" s="170"/>
      <c r="D37" s="170"/>
      <c r="E37" s="100"/>
      <c r="F37" s="323">
        <f>SUM(F7:F35)</f>
        <v>1</v>
      </c>
      <c r="G37" s="134">
        <f>_EK</f>
        <v>29800398</v>
      </c>
      <c r="H37" s="149"/>
      <c r="I37" s="101"/>
      <c r="J37" s="101"/>
      <c r="K37" s="101"/>
      <c r="L37" s="284"/>
      <c r="M37" s="33"/>
      <c r="N37" s="33"/>
      <c r="O37" s="33"/>
      <c r="P37" s="34"/>
    </row>
    <row r="38" spans="2:16" ht="6" customHeight="1">
      <c r="B38" s="503"/>
      <c r="C38" s="13"/>
      <c r="D38" s="14"/>
      <c r="E38" s="1"/>
      <c r="F38" s="53"/>
      <c r="G38" s="14"/>
      <c r="H38" s="1"/>
      <c r="I38" s="19"/>
      <c r="J38" s="15"/>
      <c r="K38" s="1"/>
      <c r="L38" s="1"/>
      <c r="M38" s="1"/>
      <c r="N38" s="1"/>
      <c r="O38" s="1"/>
      <c r="P38" s="1"/>
    </row>
    <row r="39" spans="1:13" s="11" customFormat="1" ht="12.75" customHeight="1">
      <c r="A39" s="565"/>
      <c r="B39" s="565"/>
      <c r="C39" s="117" t="s">
        <v>286</v>
      </c>
      <c r="D39" s="118"/>
      <c r="E39" s="328"/>
      <c r="F39" s="205"/>
      <c r="G39" s="227">
        <f>_mvB</f>
        <v>150000</v>
      </c>
      <c r="H39" s="3"/>
      <c r="I39" s="113"/>
      <c r="J39" s="113"/>
      <c r="K39" s="113"/>
      <c r="L39" s="158">
        <v>1</v>
      </c>
      <c r="M39" s="227">
        <f>G39*L39</f>
        <v>150000</v>
      </c>
    </row>
    <row r="40" spans="2:16" ht="6" customHeight="1">
      <c r="B40" s="13"/>
      <c r="C40" s="13"/>
      <c r="D40" s="14"/>
      <c r="E40" s="1"/>
      <c r="F40" s="53"/>
      <c r="G40" s="14"/>
      <c r="H40" s="1"/>
      <c r="I40" s="1"/>
      <c r="J40" s="1"/>
      <c r="K40" s="1"/>
      <c r="L40" s="19"/>
      <c r="M40" s="15"/>
      <c r="N40" s="18"/>
      <c r="O40" s="33"/>
      <c r="P40" s="34"/>
    </row>
    <row r="41" spans="1:15" s="20" customFormat="1" ht="12.75" customHeight="1">
      <c r="A41" s="303" t="s">
        <v>33</v>
      </c>
      <c r="B41" s="304"/>
      <c r="C41" s="304"/>
      <c r="D41" s="304"/>
      <c r="E41" s="319"/>
      <c r="F41" s="319"/>
      <c r="G41" s="319"/>
      <c r="H41" s="319"/>
      <c r="I41" s="319"/>
      <c r="J41" s="319"/>
      <c r="K41" s="319"/>
      <c r="L41" s="320"/>
      <c r="M41" s="321">
        <f>ROUND(SUM(M7:M11)+SUM(M20:M39),2)</f>
        <v>20960000</v>
      </c>
      <c r="N41" s="70"/>
      <c r="O41" s="33"/>
    </row>
    <row r="42" spans="2:16" s="22" customFormat="1" ht="12.75" customHeight="1">
      <c r="B42" s="25"/>
      <c r="C42" s="25"/>
      <c r="D42" s="23"/>
      <c r="E42" s="52"/>
      <c r="F42" s="52"/>
      <c r="G42" s="23"/>
      <c r="H42" s="52"/>
      <c r="I42" s="52"/>
      <c r="J42" s="52"/>
      <c r="K42" s="52"/>
      <c r="L42" s="248"/>
      <c r="M42" s="248"/>
      <c r="N42" s="32"/>
      <c r="O42" s="33"/>
      <c r="P42" s="51"/>
    </row>
    <row r="43" spans="2:16" ht="9" customHeight="1">
      <c r="B43" s="21"/>
      <c r="M43" s="505"/>
      <c r="O43" s="33"/>
      <c r="P43" s="34"/>
    </row>
    <row r="44" spans="1:13" ht="6" customHeight="1">
      <c r="A44" s="251"/>
      <c r="B44" s="251"/>
      <c r="C44" s="251"/>
      <c r="D44" s="271"/>
      <c r="E44" s="283"/>
      <c r="F44" s="283"/>
      <c r="G44" s="271"/>
      <c r="H44" s="283"/>
      <c r="I44" s="283"/>
      <c r="J44" s="283"/>
      <c r="K44" s="283"/>
      <c r="M44" s="506"/>
    </row>
    <row r="45" spans="1:14" ht="12.75" customHeight="1">
      <c r="A45" s="249" t="s">
        <v>68</v>
      </c>
      <c r="B45" s="249"/>
      <c r="C45" s="249"/>
      <c r="D45" s="250"/>
      <c r="E45" s="250"/>
      <c r="F45" s="250"/>
      <c r="G45" s="250"/>
      <c r="H45" s="250"/>
      <c r="I45" s="250"/>
      <c r="J45" s="250"/>
      <c r="K45" s="250"/>
      <c r="L45" s="249"/>
      <c r="M45" s="507"/>
      <c r="N45" s="508"/>
    </row>
    <row r="46" spans="1:13" ht="6.75" customHeight="1">
      <c r="A46" s="251"/>
      <c r="B46" s="251"/>
      <c r="C46" s="251"/>
      <c r="D46" s="251"/>
      <c r="E46" s="252"/>
      <c r="F46" s="252"/>
      <c r="G46" s="251"/>
      <c r="H46" s="252"/>
      <c r="I46" s="252"/>
      <c r="J46" s="252"/>
      <c r="K46" s="252"/>
      <c r="M46" s="506"/>
    </row>
    <row r="47" spans="1:15" ht="12.75" customHeight="1">
      <c r="A47" s="253" t="s">
        <v>89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63"/>
      <c r="M47" s="506"/>
      <c r="N47" s="18"/>
      <c r="O47" s="48"/>
    </row>
    <row r="48" spans="1:14" ht="12.75" customHeight="1">
      <c r="A48" s="27"/>
      <c r="B48" s="27"/>
      <c r="C48" s="27"/>
      <c r="D48" s="1"/>
      <c r="E48" s="1"/>
      <c r="F48" s="1"/>
      <c r="G48" s="255" t="s">
        <v>5</v>
      </c>
      <c r="H48" s="259"/>
      <c r="I48" s="256" t="s">
        <v>4</v>
      </c>
      <c r="J48" s="256"/>
      <c r="K48" s="256"/>
      <c r="M48" s="424"/>
      <c r="N48" s="64"/>
    </row>
    <row r="49" spans="2:14" ht="12.75" customHeight="1">
      <c r="B49" s="28" t="s">
        <v>47</v>
      </c>
      <c r="C49" s="66"/>
      <c r="D49" s="57"/>
      <c r="E49" s="57"/>
      <c r="F49" s="57"/>
      <c r="G49" s="175">
        <v>22</v>
      </c>
      <c r="H49" s="288"/>
      <c r="I49" s="257" t="s">
        <v>62</v>
      </c>
      <c r="J49" s="256"/>
      <c r="K49" s="256"/>
      <c r="L49" s="19"/>
      <c r="M49" s="424"/>
      <c r="N49" s="64"/>
    </row>
    <row r="50" spans="2:14" ht="12.75" customHeight="1">
      <c r="B50" s="29" t="s">
        <v>48</v>
      </c>
      <c r="C50" s="67"/>
      <c r="D50" s="58"/>
      <c r="E50" s="58"/>
      <c r="F50" s="58"/>
      <c r="G50" s="176">
        <v>2</v>
      </c>
      <c r="H50" s="289"/>
      <c r="I50" s="258" t="s">
        <v>6</v>
      </c>
      <c r="J50" s="256"/>
      <c r="K50" s="256"/>
      <c r="L50" s="19"/>
      <c r="M50" s="424"/>
      <c r="N50" s="64"/>
    </row>
    <row r="51" spans="2:14" ht="12.75" customHeight="1">
      <c r="B51" s="29" t="s">
        <v>49</v>
      </c>
      <c r="C51" s="67"/>
      <c r="D51" s="58"/>
      <c r="E51" s="58"/>
      <c r="F51" s="58"/>
      <c r="G51" s="176">
        <v>1</v>
      </c>
      <c r="H51" s="289"/>
      <c r="I51" s="258" t="s">
        <v>6</v>
      </c>
      <c r="J51" s="256"/>
      <c r="K51" s="256"/>
      <c r="L51" s="19"/>
      <c r="M51" s="424"/>
      <c r="N51" s="64"/>
    </row>
    <row r="52" spans="2:14" ht="12.75" customHeight="1">
      <c r="B52" s="29" t="s">
        <v>50</v>
      </c>
      <c r="C52" s="58"/>
      <c r="D52" s="58"/>
      <c r="E52" s="58"/>
      <c r="F52" s="58"/>
      <c r="G52" s="176">
        <v>2</v>
      </c>
      <c r="H52" s="289"/>
      <c r="I52" s="258" t="s">
        <v>6</v>
      </c>
      <c r="J52" s="256"/>
      <c r="K52" s="256"/>
      <c r="L52" s="19"/>
      <c r="M52" s="424"/>
      <c r="N52" s="64"/>
    </row>
    <row r="53" spans="1:16" ht="4.5" customHeight="1">
      <c r="A53" s="44"/>
      <c r="B53" s="44"/>
      <c r="C53" s="44"/>
      <c r="D53" s="1"/>
      <c r="E53" s="1"/>
      <c r="F53" s="1"/>
      <c r="G53" s="259"/>
      <c r="H53" s="259"/>
      <c r="I53" s="259"/>
      <c r="J53" s="259"/>
      <c r="K53" s="259"/>
      <c r="L53" s="63"/>
      <c r="M53" s="424"/>
      <c r="N53" s="64"/>
      <c r="O53" s="34"/>
      <c r="P53" s="34"/>
    </row>
    <row r="54" spans="2:14" ht="12.75" customHeight="1">
      <c r="B54" s="27" t="s">
        <v>15</v>
      </c>
      <c r="C54" s="1"/>
      <c r="D54" s="260"/>
      <c r="E54" s="261"/>
      <c r="F54" s="261"/>
      <c r="G54" s="177">
        <v>3</v>
      </c>
      <c r="H54" s="261"/>
      <c r="I54" s="261"/>
      <c r="J54" s="261"/>
      <c r="K54" s="261"/>
      <c r="M54" s="424"/>
      <c r="N54" s="1"/>
    </row>
    <row r="55" spans="1:16" ht="4.5" customHeight="1">
      <c r="A55" s="44"/>
      <c r="B55" s="44"/>
      <c r="C55" s="1"/>
      <c r="D55" s="261"/>
      <c r="E55" s="261"/>
      <c r="F55" s="261"/>
      <c r="G55" s="261"/>
      <c r="H55" s="261"/>
      <c r="I55" s="261"/>
      <c r="J55" s="261"/>
      <c r="K55" s="261"/>
      <c r="L55" s="59"/>
      <c r="M55" s="424"/>
      <c r="N55" s="1"/>
      <c r="O55" s="34"/>
      <c r="P55" s="34"/>
    </row>
    <row r="56" spans="2:14" ht="12.75" customHeight="1">
      <c r="B56" s="27" t="s">
        <v>46</v>
      </c>
      <c r="C56" s="1"/>
      <c r="D56" s="260"/>
      <c r="E56" s="261"/>
      <c r="F56" s="261"/>
      <c r="G56" s="262">
        <f>SUM(G49:G54)</f>
        <v>30</v>
      </c>
      <c r="H56" s="261"/>
      <c r="I56" s="261"/>
      <c r="J56" s="261"/>
      <c r="K56" s="261"/>
      <c r="M56" s="424"/>
      <c r="N56" s="1"/>
    </row>
    <row r="57" spans="2:16" ht="12.75" customHeight="1">
      <c r="B57" s="44"/>
      <c r="C57" s="1"/>
      <c r="D57" s="261"/>
      <c r="E57" s="261"/>
      <c r="F57" s="261"/>
      <c r="G57" s="261"/>
      <c r="H57" s="261"/>
      <c r="I57" s="261"/>
      <c r="J57" s="261"/>
      <c r="K57" s="261"/>
      <c r="L57" s="59"/>
      <c r="M57" s="424"/>
      <c r="N57" s="1"/>
      <c r="O57" s="34"/>
      <c r="P57" s="34"/>
    </row>
    <row r="58" spans="1:14" ht="12.75" customHeight="1">
      <c r="A58" s="253" t="s">
        <v>16</v>
      </c>
      <c r="B58" s="253"/>
      <c r="C58" s="254"/>
      <c r="D58" s="254"/>
      <c r="E58" s="254"/>
      <c r="F58" s="254"/>
      <c r="G58" s="254"/>
      <c r="H58" s="254"/>
      <c r="I58" s="254"/>
      <c r="J58" s="254"/>
      <c r="K58" s="254"/>
      <c r="L58" s="509"/>
      <c r="M58" s="1"/>
      <c r="N58" s="18"/>
    </row>
    <row r="59" spans="1:14" ht="4.5" customHeight="1">
      <c r="A59" s="263"/>
      <c r="B59" s="263"/>
      <c r="C59" s="263"/>
      <c r="D59" s="263"/>
      <c r="M59" s="1"/>
      <c r="N59" s="18"/>
    </row>
    <row r="60" spans="1:14" ht="12.75" customHeight="1">
      <c r="A60" s="264" t="s">
        <v>11</v>
      </c>
      <c r="B60" s="264"/>
      <c r="C60" s="1"/>
      <c r="G60" s="307">
        <f>M41</f>
        <v>20960000</v>
      </c>
      <c r="H60" s="290"/>
      <c r="M60" s="1"/>
      <c r="N60" s="18"/>
    </row>
    <row r="61" spans="1:14" ht="7.5" customHeight="1">
      <c r="A61" s="30"/>
      <c r="B61" s="30"/>
      <c r="C61" s="30"/>
      <c r="D61" s="30"/>
      <c r="E61" s="26"/>
      <c r="F61" s="26"/>
      <c r="G61" s="260"/>
      <c r="H61" s="261"/>
      <c r="M61" s="510"/>
      <c r="N61" s="18"/>
    </row>
    <row r="62" spans="1:14" ht="12.75" customHeight="1">
      <c r="A62" s="30" t="s">
        <v>93</v>
      </c>
      <c r="B62" s="30"/>
      <c r="C62" s="30"/>
      <c r="D62" s="1"/>
      <c r="E62" s="1"/>
      <c r="F62" s="1"/>
      <c r="G62" s="147">
        <f>0.0198*G56+0.9406</f>
        <v>1.53</v>
      </c>
      <c r="H62" s="150"/>
      <c r="I62" s="180"/>
      <c r="M62" s="510"/>
      <c r="N62" s="18"/>
    </row>
    <row r="63" spans="1:14" ht="4.5" customHeight="1">
      <c r="A63" s="30"/>
      <c r="B63" s="30"/>
      <c r="C63" s="30"/>
      <c r="D63" s="1"/>
      <c r="E63" s="1"/>
      <c r="F63" s="1"/>
      <c r="G63" s="42"/>
      <c r="H63" s="42"/>
      <c r="I63" s="180"/>
      <c r="M63" s="510"/>
      <c r="N63" s="18"/>
    </row>
    <row r="64" spans="1:14" ht="15.75" customHeight="1">
      <c r="A64" s="30" t="s">
        <v>112</v>
      </c>
      <c r="B64" s="30"/>
      <c r="C64" s="30"/>
      <c r="D64" s="1"/>
      <c r="E64" s="1"/>
      <c r="F64" s="1"/>
      <c r="G64" s="368">
        <f>ROUND(IF(G60&lt;2000000,40*G60^(-0.1208)*G62/100,(12.2611*G60^(-0.0394)*G62)/100),6)</f>
        <v>0.096551</v>
      </c>
      <c r="H64" s="291"/>
      <c r="M64" s="510"/>
      <c r="N64" s="18"/>
    </row>
    <row r="65" spans="1:14" ht="15.75" customHeight="1">
      <c r="A65" s="30" t="s">
        <v>95</v>
      </c>
      <c r="B65" s="30"/>
      <c r="C65" s="30"/>
      <c r="D65" s="1"/>
      <c r="E65" s="1"/>
      <c r="F65" s="1"/>
      <c r="G65" s="359">
        <f>40*G60^(-0.1208)*G62/100</f>
        <v>0.07986</v>
      </c>
      <c r="H65" s="291"/>
      <c r="I65" s="352">
        <f>IF(G60&lt;2000000,"(PL + ÖBA)","")</f>
      </c>
      <c r="M65" s="510"/>
      <c r="N65" s="18"/>
    </row>
    <row r="66" spans="1:14" ht="15.75" customHeight="1">
      <c r="A66" s="30" t="s">
        <v>96</v>
      </c>
      <c r="B66" s="30"/>
      <c r="C66" s="30"/>
      <c r="D66" s="30"/>
      <c r="E66" s="1"/>
      <c r="F66" s="1"/>
      <c r="G66" s="359">
        <f>(12.2611*G60^(-0.0394)*G62)/100</f>
        <v>0.096551</v>
      </c>
      <c r="H66" s="291"/>
      <c r="I66" s="353" t="str">
        <f>IF(G60&gt;1999999.99,"(PL + ÖBA)","")</f>
        <v>(PL + ÖBA)</v>
      </c>
      <c r="M66" s="510"/>
      <c r="N66" s="18"/>
    </row>
    <row r="67" spans="1:14" ht="3" customHeight="1">
      <c r="A67" s="30"/>
      <c r="B67" s="30"/>
      <c r="C67" s="30"/>
      <c r="D67" s="1"/>
      <c r="E67" s="1"/>
      <c r="F67" s="1"/>
      <c r="G67" s="265"/>
      <c r="H67" s="265"/>
      <c r="I67" s="265"/>
      <c r="J67" s="265"/>
      <c r="K67" s="265"/>
      <c r="M67" s="510"/>
      <c r="N67" s="18"/>
    </row>
    <row r="68" spans="1:14" ht="15.75" customHeight="1">
      <c r="A68" s="30" t="s">
        <v>292</v>
      </c>
      <c r="B68" s="30"/>
      <c r="C68" s="30"/>
      <c r="D68" s="30"/>
      <c r="E68" s="1"/>
      <c r="F68" s="1"/>
      <c r="G68" s="522">
        <v>0.1</v>
      </c>
      <c r="H68" s="291"/>
      <c r="I68" s="353"/>
      <c r="M68" s="510"/>
      <c r="N68" s="18"/>
    </row>
    <row r="69" spans="1:14" ht="7.5" customHeight="1">
      <c r="A69" s="30"/>
      <c r="B69" s="30"/>
      <c r="C69" s="30"/>
      <c r="D69" s="1"/>
      <c r="E69" s="1"/>
      <c r="F69" s="1"/>
      <c r="G69" s="265"/>
      <c r="H69" s="265"/>
      <c r="I69" s="265"/>
      <c r="J69" s="265"/>
      <c r="K69" s="265"/>
      <c r="M69" s="510"/>
      <c r="N69" s="18"/>
    </row>
    <row r="70" spans="1:15" ht="15" customHeight="1">
      <c r="A70" s="31" t="s">
        <v>97</v>
      </c>
      <c r="B70" s="28"/>
      <c r="C70" s="28"/>
      <c r="D70" s="266"/>
      <c r="E70" s="267"/>
      <c r="F70" s="267"/>
      <c r="G70" s="268"/>
      <c r="H70" s="268"/>
      <c r="I70" s="523">
        <f>G60*G64*(1+G68)</f>
        <v>2226080</v>
      </c>
      <c r="J70" s="268"/>
      <c r="K70" s="268"/>
      <c r="L70" s="71"/>
      <c r="M70" s="1"/>
      <c r="N70" s="18"/>
      <c r="O70" s="48"/>
    </row>
    <row r="71" spans="1:16" ht="12.75" customHeight="1">
      <c r="A71" s="43"/>
      <c r="B71" s="44"/>
      <c r="C71" s="44"/>
      <c r="D71" s="269"/>
      <c r="E71" s="269"/>
      <c r="F71" s="269"/>
      <c r="G71" s="270"/>
      <c r="H71" s="270"/>
      <c r="I71" s="270"/>
      <c r="J71" s="270"/>
      <c r="K71" s="270"/>
      <c r="L71" s="63"/>
      <c r="M71" s="45"/>
      <c r="N71" s="18"/>
      <c r="O71" s="34"/>
      <c r="P71" s="34"/>
    </row>
    <row r="72" spans="1:16" ht="12.75" customHeight="1">
      <c r="A72" s="43"/>
      <c r="B72" s="44"/>
      <c r="C72" s="44"/>
      <c r="D72" s="269"/>
      <c r="E72" s="574" t="s">
        <v>329</v>
      </c>
      <c r="F72" s="574"/>
      <c r="G72" s="558" t="s">
        <v>5</v>
      </c>
      <c r="H72" s="270"/>
      <c r="I72" s="270"/>
      <c r="J72" s="270"/>
      <c r="K72" s="270"/>
      <c r="L72" s="63"/>
      <c r="M72" s="45"/>
      <c r="N72" s="18"/>
      <c r="O72" s="34"/>
      <c r="P72" s="34"/>
    </row>
    <row r="73" spans="1:13" ht="12.75" customHeight="1">
      <c r="A73" s="271" t="s">
        <v>128</v>
      </c>
      <c r="B73" s="271"/>
      <c r="C73" s="272"/>
      <c r="D73" s="1"/>
      <c r="E73" s="572">
        <v>0.02</v>
      </c>
      <c r="F73" s="572"/>
      <c r="G73" s="343">
        <v>0.02</v>
      </c>
      <c r="H73" s="273"/>
      <c r="I73" s="285">
        <f>$I$70*G73</f>
        <v>44522</v>
      </c>
      <c r="J73" s="285"/>
      <c r="K73" s="285"/>
      <c r="L73" s="59"/>
      <c r="M73" s="510"/>
    </row>
    <row r="74" spans="1:13" ht="12.75" customHeight="1">
      <c r="A74" s="271" t="s">
        <v>36</v>
      </c>
      <c r="B74" s="271"/>
      <c r="C74" s="272"/>
      <c r="D74" s="1"/>
      <c r="E74" s="572">
        <v>0.08</v>
      </c>
      <c r="F74" s="572">
        <v>0.08</v>
      </c>
      <c r="G74" s="344">
        <v>0.08</v>
      </c>
      <c r="H74" s="273"/>
      <c r="I74" s="285">
        <f aca="true" t="shared" si="0" ref="I74:I82">$I$70*G74</f>
        <v>178086</v>
      </c>
      <c r="J74" s="285"/>
      <c r="K74" s="285"/>
      <c r="L74" s="59"/>
      <c r="M74" s="238"/>
    </row>
    <row r="75" spans="1:13" ht="12.75" customHeight="1">
      <c r="A75" s="271" t="s">
        <v>37</v>
      </c>
      <c r="B75" s="271"/>
      <c r="C75" s="272"/>
      <c r="D75" s="1"/>
      <c r="E75" s="572">
        <v>0.12</v>
      </c>
      <c r="F75" s="572">
        <v>0.12</v>
      </c>
      <c r="G75" s="344">
        <v>0.12</v>
      </c>
      <c r="H75" s="273"/>
      <c r="I75" s="285">
        <f t="shared" si="0"/>
        <v>267130</v>
      </c>
      <c r="J75" s="285"/>
      <c r="K75" s="285"/>
      <c r="L75" s="59"/>
      <c r="M75" s="238"/>
    </row>
    <row r="76" spans="1:13" ht="12.75" customHeight="1">
      <c r="A76" s="271" t="s">
        <v>38</v>
      </c>
      <c r="B76" s="271"/>
      <c r="C76" s="272"/>
      <c r="D76" s="1"/>
      <c r="E76" s="572">
        <v>0.05</v>
      </c>
      <c r="F76" s="572">
        <v>0.05</v>
      </c>
      <c r="G76" s="344">
        <v>0.05</v>
      </c>
      <c r="H76" s="273"/>
      <c r="I76" s="285">
        <f t="shared" si="0"/>
        <v>111304</v>
      </c>
      <c r="J76" s="285"/>
      <c r="K76" s="285"/>
      <c r="L76" s="59"/>
      <c r="M76" s="238"/>
    </row>
    <row r="77" spans="1:13" ht="12.75" customHeight="1">
      <c r="A77" s="271" t="s">
        <v>39</v>
      </c>
      <c r="B77" s="271"/>
      <c r="C77" s="272"/>
      <c r="D77" s="1"/>
      <c r="E77" s="572">
        <v>0.22</v>
      </c>
      <c r="F77" s="572">
        <v>0.22</v>
      </c>
      <c r="G77" s="344">
        <v>0.22</v>
      </c>
      <c r="H77" s="273"/>
      <c r="I77" s="285">
        <f t="shared" si="0"/>
        <v>489738</v>
      </c>
      <c r="J77" s="285"/>
      <c r="K77" s="285"/>
      <c r="L77" s="59"/>
      <c r="M77" s="238"/>
    </row>
    <row r="78" spans="1:13" ht="12.75" customHeight="1">
      <c r="A78" s="271" t="s">
        <v>40</v>
      </c>
      <c r="B78" s="271"/>
      <c r="C78" s="272"/>
      <c r="D78" s="1"/>
      <c r="E78" s="572">
        <v>0.06</v>
      </c>
      <c r="F78" s="572">
        <v>0.06</v>
      </c>
      <c r="G78" s="344">
        <v>0.06</v>
      </c>
      <c r="H78" s="273"/>
      <c r="I78" s="285">
        <f t="shared" si="0"/>
        <v>133565</v>
      </c>
      <c r="J78" s="285"/>
      <c r="K78" s="285"/>
      <c r="L78" s="59"/>
      <c r="M78" s="238"/>
    </row>
    <row r="79" spans="1:16" ht="12.75" customHeight="1">
      <c r="A79" s="271" t="s">
        <v>41</v>
      </c>
      <c r="B79" s="271"/>
      <c r="C79" s="272"/>
      <c r="D79" s="1"/>
      <c r="E79" s="572">
        <v>0.02</v>
      </c>
      <c r="F79" s="572">
        <v>0.02</v>
      </c>
      <c r="G79" s="344">
        <v>0.02</v>
      </c>
      <c r="H79" s="273"/>
      <c r="I79" s="285">
        <f t="shared" si="0"/>
        <v>44522</v>
      </c>
      <c r="J79" s="285"/>
      <c r="K79" s="285"/>
      <c r="L79" s="59"/>
      <c r="M79" s="238"/>
      <c r="O79" s="49"/>
      <c r="P79" s="49"/>
    </row>
    <row r="80" spans="1:16" ht="12.75" customHeight="1">
      <c r="A80" s="271" t="s">
        <v>55</v>
      </c>
      <c r="B80" s="271"/>
      <c r="C80" s="272"/>
      <c r="D80" s="1"/>
      <c r="E80" s="572">
        <v>0.04</v>
      </c>
      <c r="F80" s="572">
        <v>0.04</v>
      </c>
      <c r="G80" s="344">
        <v>0.04</v>
      </c>
      <c r="H80" s="273"/>
      <c r="I80" s="285">
        <f t="shared" si="0"/>
        <v>89043</v>
      </c>
      <c r="J80" s="285"/>
      <c r="K80" s="285"/>
      <c r="L80" s="59"/>
      <c r="M80" s="238"/>
      <c r="O80" s="49"/>
      <c r="P80" s="49"/>
    </row>
    <row r="81" spans="1:16" ht="12.75" customHeight="1">
      <c r="A81" s="251" t="s">
        <v>43</v>
      </c>
      <c r="B81" s="251"/>
      <c r="C81" s="272"/>
      <c r="D81" s="1"/>
      <c r="E81" s="572">
        <v>0.37</v>
      </c>
      <c r="F81" s="572">
        <v>0.37</v>
      </c>
      <c r="G81" s="344">
        <v>0.37</v>
      </c>
      <c r="H81" s="273"/>
      <c r="I81" s="285">
        <f t="shared" si="0"/>
        <v>823650</v>
      </c>
      <c r="J81" s="285"/>
      <c r="K81" s="285"/>
      <c r="L81" s="59"/>
      <c r="M81" s="238"/>
      <c r="O81" s="49"/>
      <c r="P81" s="49"/>
    </row>
    <row r="82" spans="1:16" ht="12.75" customHeight="1">
      <c r="A82" s="276" t="s">
        <v>56</v>
      </c>
      <c r="B82" s="276"/>
      <c r="C82" s="277"/>
      <c r="D82" s="57"/>
      <c r="E82" s="573">
        <v>0.02</v>
      </c>
      <c r="F82" s="573">
        <v>0.02</v>
      </c>
      <c r="G82" s="345">
        <v>0.02</v>
      </c>
      <c r="H82" s="278"/>
      <c r="I82" s="286">
        <f t="shared" si="0"/>
        <v>44522</v>
      </c>
      <c r="J82" s="292"/>
      <c r="K82" s="292"/>
      <c r="L82" s="63"/>
      <c r="M82" s="238"/>
      <c r="O82" s="49"/>
      <c r="P82" s="49"/>
    </row>
    <row r="83" spans="1:16" ht="12.75" customHeight="1">
      <c r="A83" s="280" t="s">
        <v>45</v>
      </c>
      <c r="B83" s="251"/>
      <c r="C83" s="30"/>
      <c r="D83" s="1"/>
      <c r="E83" s="281"/>
      <c r="F83" s="281"/>
      <c r="G83" s="346">
        <f>SUM(G73:G82)</f>
        <v>1</v>
      </c>
      <c r="H83" s="281"/>
      <c r="I83" s="287">
        <f>SUM(I73:I82)</f>
        <v>2226082</v>
      </c>
      <c r="J83" s="287"/>
      <c r="K83" s="287"/>
      <c r="M83" s="518">
        <f>I83</f>
        <v>2226082</v>
      </c>
      <c r="O83" s="49"/>
      <c r="P83" s="49"/>
    </row>
    <row r="84" spans="7:16" ht="12.75" customHeight="1">
      <c r="G84" s="163"/>
      <c r="M84" s="510"/>
      <c r="O84" s="49"/>
      <c r="P84" s="49"/>
    </row>
    <row r="85" spans="1:16" ht="12.75" customHeight="1">
      <c r="A85" s="54" t="s">
        <v>171</v>
      </c>
      <c r="G85" s="355">
        <v>0</v>
      </c>
      <c r="H85" s="1"/>
      <c r="I85" s="356">
        <v>0</v>
      </c>
      <c r="J85" s="1"/>
      <c r="K85" s="65"/>
      <c r="L85" s="49"/>
      <c r="M85" s="518">
        <f>G85*I85</f>
        <v>0</v>
      </c>
      <c r="N85" s="49"/>
      <c r="O85" s="1"/>
      <c r="P85" s="1"/>
    </row>
    <row r="86" spans="7:16" ht="12.75" customHeight="1">
      <c r="G86" s="163"/>
      <c r="M86" s="238"/>
      <c r="O86" s="49"/>
      <c r="P86" s="49"/>
    </row>
    <row r="87" spans="1:16" s="35" customFormat="1" ht="12.75">
      <c r="A87" s="141" t="s">
        <v>150</v>
      </c>
      <c r="B87" s="142"/>
      <c r="C87" s="143"/>
      <c r="D87" s="143"/>
      <c r="E87" s="144"/>
      <c r="F87" s="145"/>
      <c r="G87" s="164"/>
      <c r="H87" s="144"/>
      <c r="I87" s="144"/>
      <c r="J87" s="144"/>
      <c r="K87" s="144"/>
      <c r="L87" s="144"/>
      <c r="M87" s="146">
        <f>M83+M85</f>
        <v>2226082</v>
      </c>
      <c r="N87" s="39"/>
      <c r="O87" s="90"/>
      <c r="P87" s="91"/>
    </row>
    <row r="88" spans="2:16" s="35" customFormat="1" ht="4.5" customHeight="1">
      <c r="B88" s="36"/>
      <c r="C88" s="37"/>
      <c r="D88" s="37"/>
      <c r="E88" s="72"/>
      <c r="F88" s="73"/>
      <c r="G88" s="74"/>
      <c r="H88" s="102"/>
      <c r="I88" s="102"/>
      <c r="J88" s="102"/>
      <c r="K88" s="102"/>
      <c r="M88" s="135"/>
      <c r="N88" s="39"/>
      <c r="O88" s="39"/>
      <c r="P88" s="93"/>
    </row>
    <row r="89" spans="1:16" s="35" customFormat="1" ht="12.75">
      <c r="A89" s="75" t="s">
        <v>13</v>
      </c>
      <c r="B89" s="36"/>
      <c r="C89" s="37"/>
      <c r="D89" s="37"/>
      <c r="E89" s="83"/>
      <c r="F89" s="83"/>
      <c r="G89" s="338">
        <v>0.04</v>
      </c>
      <c r="H89" s="41"/>
      <c r="I89" s="103"/>
      <c r="J89" s="103"/>
      <c r="K89" s="103"/>
      <c r="L89" s="40"/>
      <c r="M89" s="136">
        <f>ROUND(M87*G89,2)</f>
        <v>89043</v>
      </c>
      <c r="N89" s="39"/>
      <c r="O89" s="95"/>
      <c r="P89" s="93"/>
    </row>
    <row r="90" spans="1:16" s="35" customFormat="1" ht="3" customHeight="1">
      <c r="A90" s="76"/>
      <c r="B90" s="77"/>
      <c r="C90" s="78"/>
      <c r="D90" s="78"/>
      <c r="E90" s="85"/>
      <c r="F90" s="85"/>
      <c r="G90" s="339"/>
      <c r="H90" s="349"/>
      <c r="I90" s="104"/>
      <c r="J90" s="104"/>
      <c r="K90" s="104"/>
      <c r="L90" s="76"/>
      <c r="M90" s="137"/>
      <c r="N90" s="39"/>
      <c r="O90" s="39"/>
      <c r="P90" s="93"/>
    </row>
    <row r="91" spans="2:16" s="35" customFormat="1" ht="3" customHeight="1">
      <c r="B91" s="36"/>
      <c r="C91" s="37"/>
      <c r="D91" s="37"/>
      <c r="E91" s="79"/>
      <c r="F91" s="79"/>
      <c r="G91" s="341"/>
      <c r="H91" s="350"/>
      <c r="I91" s="102"/>
      <c r="J91" s="102"/>
      <c r="K91" s="102"/>
      <c r="M91" s="135"/>
      <c r="N91" s="39"/>
      <c r="O91" s="39"/>
      <c r="P91" s="93"/>
    </row>
    <row r="92" spans="1:16" s="35" customFormat="1" ht="12.75">
      <c r="A92" s="80" t="s">
        <v>151</v>
      </c>
      <c r="B92" s="81"/>
      <c r="C92" s="82"/>
      <c r="D92" s="82"/>
      <c r="E92" s="38"/>
      <c r="F92" s="38"/>
      <c r="G92" s="337"/>
      <c r="H92" s="351"/>
      <c r="I92" s="103"/>
      <c r="J92" s="103"/>
      <c r="K92" s="103"/>
      <c r="L92" s="40"/>
      <c r="M92" s="138">
        <f>M87+M89</f>
        <v>2315125</v>
      </c>
      <c r="N92" s="39"/>
      <c r="O92" s="96"/>
      <c r="P92" s="97"/>
    </row>
    <row r="93" spans="1:16" s="35" customFormat="1" ht="12.75">
      <c r="A93" s="35" t="s">
        <v>14</v>
      </c>
      <c r="B93" s="36"/>
      <c r="D93" s="37"/>
      <c r="E93" s="79"/>
      <c r="F93" s="79"/>
      <c r="G93" s="41">
        <v>0.2</v>
      </c>
      <c r="H93" s="41"/>
      <c r="I93" s="41"/>
      <c r="J93" s="41"/>
      <c r="K93" s="41"/>
      <c r="M93" s="139">
        <f>ROUND(M92*G93,2)</f>
        <v>463025</v>
      </c>
      <c r="N93" s="39"/>
      <c r="O93" s="39"/>
      <c r="P93" s="93"/>
    </row>
    <row r="94" spans="1:16" s="35" customFormat="1" ht="3" customHeight="1">
      <c r="A94" s="40"/>
      <c r="B94" s="308"/>
      <c r="C94" s="87"/>
      <c r="D94" s="87"/>
      <c r="E94" s="79"/>
      <c r="F94" s="79"/>
      <c r="G94" s="74"/>
      <c r="H94" s="102"/>
      <c r="I94" s="102"/>
      <c r="J94" s="102"/>
      <c r="K94" s="102"/>
      <c r="M94" s="140"/>
      <c r="N94" s="39"/>
      <c r="O94" s="39"/>
      <c r="P94" s="93"/>
    </row>
    <row r="95" spans="1:16" s="40" customFormat="1" ht="12.75">
      <c r="A95" s="296" t="s">
        <v>152</v>
      </c>
      <c r="B95" s="309"/>
      <c r="C95" s="297"/>
      <c r="D95" s="297"/>
      <c r="E95" s="298"/>
      <c r="F95" s="299"/>
      <c r="G95" s="300"/>
      <c r="H95" s="300"/>
      <c r="I95" s="300"/>
      <c r="J95" s="300"/>
      <c r="K95" s="300"/>
      <c r="L95" s="298"/>
      <c r="M95" s="301">
        <f>SUM(M92:M93)</f>
        <v>2778150</v>
      </c>
      <c r="N95" s="39"/>
      <c r="O95" s="96"/>
      <c r="P95" s="97"/>
    </row>
    <row r="96" spans="15:16" ht="4.5" customHeight="1">
      <c r="O96" s="49"/>
      <c r="P96" s="49"/>
    </row>
    <row r="97" spans="1:16" s="311" customFormat="1" ht="12.75">
      <c r="A97" s="311" t="s">
        <v>136</v>
      </c>
      <c r="B97" s="312"/>
      <c r="C97" s="312"/>
      <c r="D97" s="313"/>
      <c r="E97" s="314"/>
      <c r="F97" s="314"/>
      <c r="G97" s="520">
        <f>M92/G37</f>
        <v>0.077688</v>
      </c>
      <c r="H97" s="314"/>
      <c r="I97" s="314"/>
      <c r="J97" s="314"/>
      <c r="K97" s="314"/>
      <c r="L97" s="315"/>
      <c r="M97" s="316"/>
      <c r="N97" s="317"/>
      <c r="O97" s="318"/>
      <c r="P97" s="318"/>
    </row>
  </sheetData>
  <sheetProtection password="D2DC" sheet="1"/>
  <mergeCells count="34">
    <mergeCell ref="E78:F78"/>
    <mergeCell ref="E79:F79"/>
    <mergeCell ref="E80:F80"/>
    <mergeCell ref="E81:F81"/>
    <mergeCell ref="E82:F82"/>
    <mergeCell ref="E72:F72"/>
    <mergeCell ref="E73:F73"/>
    <mergeCell ref="E74:F74"/>
    <mergeCell ref="E75:F75"/>
    <mergeCell ref="E76:F76"/>
    <mergeCell ref="E77:F77"/>
    <mergeCell ref="L2:M2"/>
    <mergeCell ref="A7:B7"/>
    <mergeCell ref="A9:B9"/>
    <mergeCell ref="A11:B11"/>
    <mergeCell ref="A12:B12"/>
    <mergeCell ref="A13:B13"/>
    <mergeCell ref="A14:B14"/>
    <mergeCell ref="A15:B15"/>
    <mergeCell ref="A16:B16"/>
    <mergeCell ref="M16:M19"/>
    <mergeCell ref="A17:B17"/>
    <mergeCell ref="A18:B18"/>
    <mergeCell ref="A19:B19"/>
    <mergeCell ref="A31:B31"/>
    <mergeCell ref="A33:B33"/>
    <mergeCell ref="A35:B35"/>
    <mergeCell ref="A39:B39"/>
    <mergeCell ref="A22:B22"/>
    <mergeCell ref="A24:B24"/>
    <mergeCell ref="A25:B25"/>
    <mergeCell ref="A26:B26"/>
    <mergeCell ref="A27:B27"/>
    <mergeCell ref="A29:B29"/>
  </mergeCells>
  <conditionalFormatting sqref="G65">
    <cfRule type="expression" priority="4" dxfId="12" stopIfTrue="1">
      <formula>$G$60&gt;1999999.99</formula>
    </cfRule>
  </conditionalFormatting>
  <conditionalFormatting sqref="G66">
    <cfRule type="expression" priority="3" dxfId="12" stopIfTrue="1">
      <formula>$G$60&lt;2000000</formula>
    </cfRule>
  </conditionalFormatting>
  <conditionalFormatting sqref="I17:K17">
    <cfRule type="expression" priority="2" dxfId="8" stopIfTrue="1">
      <formula>$G$11&gt;$J$15</formula>
    </cfRule>
  </conditionalFormatting>
  <conditionalFormatting sqref="I19:K19">
    <cfRule type="expression" priority="1" dxfId="8" stopIfTrue="1">
      <formula>$G$11&lt;$J$15</formula>
    </cfRule>
  </conditionalFormatting>
  <printOptions/>
  <pageMargins left="0.5905511811023623" right="0.5905511811023623" top="0.5511811023622047" bottom="0.35433070866141736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P93"/>
  <sheetViews>
    <sheetView showGridLines="0" zoomScale="85" zoomScaleNormal="85" zoomScaleSheetLayoutView="85" zoomScalePageLayoutView="85" workbookViewId="0" topLeftCell="A25">
      <selection activeCell="L52" sqref="L52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106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G7/$G$28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G9/$G$28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G11/$G$28</f>
        <v>0.19</v>
      </c>
      <c r="G11" s="228">
        <f>_3</f>
        <v>5650000</v>
      </c>
      <c r="H11" s="113"/>
      <c r="I11" s="158">
        <v>0</v>
      </c>
      <c r="J11" s="227">
        <f>G11*I11</f>
        <v>0</v>
      </c>
      <c r="K11" s="56"/>
    </row>
    <row r="12" spans="2:11" ht="6.75" customHeight="1">
      <c r="B12" s="13"/>
      <c r="C12" s="13"/>
      <c r="D12" s="14"/>
      <c r="E12" s="14"/>
      <c r="F12" s="206"/>
      <c r="G12" s="186"/>
      <c r="H12" s="1"/>
      <c r="I12" s="159"/>
      <c r="J12" s="186"/>
      <c r="K12" s="55"/>
    </row>
    <row r="13" spans="1:11" s="11" customFormat="1" ht="12.75" customHeight="1">
      <c r="A13" s="565">
        <v>4</v>
      </c>
      <c r="B13" s="565"/>
      <c r="C13" s="117"/>
      <c r="D13" s="118" t="s">
        <v>2</v>
      </c>
      <c r="E13" s="118"/>
      <c r="F13" s="205">
        <f>G13/$G$28</f>
        <v>0.201</v>
      </c>
      <c r="G13" s="227">
        <f>_4</f>
        <v>6000000</v>
      </c>
      <c r="H13" s="113"/>
      <c r="I13" s="158">
        <v>0</v>
      </c>
      <c r="J13" s="227">
        <f>G13*I13</f>
        <v>0</v>
      </c>
      <c r="K13" s="56"/>
    </row>
    <row r="14" spans="2:11" ht="6.75" customHeight="1">
      <c r="B14" s="4"/>
      <c r="C14" s="6"/>
      <c r="D14" s="1"/>
      <c r="E14" s="1"/>
      <c r="F14" s="206"/>
      <c r="G14" s="186"/>
      <c r="H14" s="1"/>
      <c r="I14" s="160"/>
      <c r="J14" s="186"/>
      <c r="K14" s="54"/>
    </row>
    <row r="15" spans="1:11" s="12" customFormat="1" ht="12.75" customHeight="1">
      <c r="A15" s="565">
        <v>5</v>
      </c>
      <c r="B15" s="565"/>
      <c r="C15" s="117"/>
      <c r="D15" s="118" t="s">
        <v>9</v>
      </c>
      <c r="E15" s="118"/>
      <c r="F15" s="205">
        <f>G15/$G$28</f>
        <v>0.055</v>
      </c>
      <c r="G15" s="229">
        <f>_5</f>
        <v>1650000</v>
      </c>
      <c r="H15" s="113"/>
      <c r="I15" s="160"/>
      <c r="J15" s="302"/>
      <c r="K15" s="56"/>
    </row>
    <row r="16" spans="1:11" ht="12.75" customHeight="1">
      <c r="A16" s="569">
        <v>5</v>
      </c>
      <c r="B16" s="569"/>
      <c r="C16" s="128" t="s">
        <v>18</v>
      </c>
      <c r="D16" s="129" t="s">
        <v>282</v>
      </c>
      <c r="E16" s="129"/>
      <c r="F16" s="207"/>
      <c r="G16" s="225">
        <f>_5.01</f>
        <v>600000</v>
      </c>
      <c r="H16" s="113"/>
      <c r="I16" s="158">
        <v>1</v>
      </c>
      <c r="J16" s="325">
        <f>I16*G16</f>
        <v>600000</v>
      </c>
      <c r="K16" s="56"/>
    </row>
    <row r="17" spans="1:11" ht="12.75" customHeight="1">
      <c r="A17" s="569">
        <v>5</v>
      </c>
      <c r="B17" s="569"/>
      <c r="C17" s="128" t="s">
        <v>20</v>
      </c>
      <c r="D17" s="500" t="s">
        <v>283</v>
      </c>
      <c r="E17" s="500"/>
      <c r="F17" s="501"/>
      <c r="G17" s="225">
        <f>_5.02</f>
        <v>1000000</v>
      </c>
      <c r="H17" s="113"/>
      <c r="I17" s="158">
        <v>0.6</v>
      </c>
      <c r="J17" s="325">
        <f>I17*G17</f>
        <v>600000</v>
      </c>
      <c r="K17" s="56"/>
    </row>
    <row r="18" spans="1:11" ht="12.75" customHeight="1">
      <c r="A18" s="566">
        <v>5</v>
      </c>
      <c r="B18" s="566"/>
      <c r="C18" s="130" t="s">
        <v>21</v>
      </c>
      <c r="D18" s="131" t="s">
        <v>53</v>
      </c>
      <c r="E18" s="131"/>
      <c r="F18" s="208"/>
      <c r="G18" s="225">
        <f>_5.03</f>
        <v>50000</v>
      </c>
      <c r="H18" s="113"/>
      <c r="I18" s="158">
        <v>0</v>
      </c>
      <c r="J18" s="325">
        <f>G18*I18</f>
        <v>0</v>
      </c>
      <c r="K18" s="56"/>
    </row>
    <row r="19" spans="2:11" ht="6.75" customHeight="1">
      <c r="B19" s="13"/>
      <c r="C19" s="13"/>
      <c r="D19" s="14"/>
      <c r="E19" s="14"/>
      <c r="F19" s="206"/>
      <c r="G19" s="223"/>
      <c r="H19" s="1"/>
      <c r="I19" s="132"/>
      <c r="J19" s="223"/>
      <c r="K19" s="56"/>
    </row>
    <row r="20" spans="1:11" s="11" customFormat="1" ht="12.75" customHeight="1">
      <c r="A20" s="565">
        <v>6</v>
      </c>
      <c r="B20" s="565"/>
      <c r="C20" s="117"/>
      <c r="D20" s="118" t="s">
        <v>3</v>
      </c>
      <c r="E20" s="118"/>
      <c r="F20" s="205">
        <f>G20/$G$28</f>
        <v>0.017</v>
      </c>
      <c r="G20" s="227">
        <f>_6</f>
        <v>500000</v>
      </c>
      <c r="H20" s="113"/>
      <c r="I20" s="158">
        <v>0</v>
      </c>
      <c r="J20" s="227">
        <f>G20*I20</f>
        <v>0</v>
      </c>
      <c r="K20" s="56"/>
    </row>
    <row r="21" spans="2:11" ht="6.75" customHeight="1">
      <c r="B21" s="17"/>
      <c r="C21" s="5"/>
      <c r="D21" s="1"/>
      <c r="E21" s="1"/>
      <c r="F21" s="209"/>
      <c r="G21" s="186"/>
      <c r="H21" s="1"/>
      <c r="I21" s="160"/>
      <c r="J21" s="186"/>
      <c r="K21" s="56"/>
    </row>
    <row r="22" spans="1:11" s="12" customFormat="1" ht="12.75" customHeight="1">
      <c r="A22" s="565">
        <v>7</v>
      </c>
      <c r="B22" s="565"/>
      <c r="C22" s="117"/>
      <c r="D22" s="118" t="s">
        <v>143</v>
      </c>
      <c r="E22" s="118"/>
      <c r="F22" s="205">
        <f>G22/$G$28</f>
        <v>0.18</v>
      </c>
      <c r="G22" s="227">
        <f>_7</f>
        <v>5349398</v>
      </c>
      <c r="H22" s="113"/>
      <c r="I22" s="158">
        <v>0</v>
      </c>
      <c r="J22" s="227">
        <f>G22*I22</f>
        <v>0</v>
      </c>
      <c r="K22" s="56"/>
    </row>
    <row r="23" spans="2:11" ht="6.75" customHeight="1">
      <c r="B23" s="13"/>
      <c r="C23" s="13"/>
      <c r="D23" s="14"/>
      <c r="E23" s="14"/>
      <c r="F23" s="209"/>
      <c r="G23" s="223"/>
      <c r="H23" s="1"/>
      <c r="I23" s="132"/>
      <c r="J23" s="223"/>
      <c r="K23" s="56"/>
    </row>
    <row r="24" spans="1:11" s="12" customFormat="1" ht="12.75" customHeight="1">
      <c r="A24" s="565">
        <v>8</v>
      </c>
      <c r="B24" s="565"/>
      <c r="C24" s="117"/>
      <c r="D24" s="118" t="s">
        <v>135</v>
      </c>
      <c r="E24" s="118"/>
      <c r="F24" s="205">
        <f>G24/$G$28</f>
        <v>0.001</v>
      </c>
      <c r="G24" s="227">
        <f>_8</f>
        <v>36000</v>
      </c>
      <c r="H24" s="113"/>
      <c r="I24" s="158">
        <v>0</v>
      </c>
      <c r="J24" s="227">
        <f>G24*I24</f>
        <v>0</v>
      </c>
      <c r="K24" s="56"/>
    </row>
    <row r="25" spans="2:11" ht="6.75" customHeight="1">
      <c r="B25" s="13"/>
      <c r="C25" s="13"/>
      <c r="D25" s="14"/>
      <c r="E25" s="14"/>
      <c r="F25" s="209"/>
      <c r="G25" s="186"/>
      <c r="H25" s="1"/>
      <c r="I25" s="159"/>
      <c r="J25" s="186"/>
      <c r="K25" s="55"/>
    </row>
    <row r="26" spans="1:11" s="12" customFormat="1" ht="12.75" customHeight="1">
      <c r="A26" s="565">
        <v>9</v>
      </c>
      <c r="B26" s="565"/>
      <c r="C26" s="117"/>
      <c r="D26" s="118" t="s">
        <v>10</v>
      </c>
      <c r="E26" s="118"/>
      <c r="F26" s="205">
        <f>G26/$G$28</f>
        <v>0.054</v>
      </c>
      <c r="G26" s="227">
        <f>_9</f>
        <v>1600000</v>
      </c>
      <c r="H26" s="113"/>
      <c r="I26" s="158">
        <v>0.03</v>
      </c>
      <c r="J26" s="227">
        <f>G26*I26</f>
        <v>48000</v>
      </c>
      <c r="K26" s="56"/>
    </row>
    <row r="27" spans="2:11" ht="12" customHeight="1">
      <c r="B27" s="17"/>
      <c r="C27" s="5"/>
      <c r="D27" s="1"/>
      <c r="E27" s="1"/>
      <c r="F27" s="53"/>
      <c r="G27" s="1"/>
      <c r="H27" s="1"/>
      <c r="I27" s="1"/>
      <c r="J27" s="1"/>
      <c r="K27" s="1"/>
    </row>
    <row r="28" spans="1:11" ht="12.75" customHeight="1">
      <c r="A28" s="169" t="s">
        <v>12</v>
      </c>
      <c r="B28" s="170"/>
      <c r="C28" s="170"/>
      <c r="D28" s="170"/>
      <c r="E28" s="100"/>
      <c r="F28" s="111">
        <f>SUM(F7:F26)</f>
        <v>1</v>
      </c>
      <c r="G28" s="134">
        <f>_EK</f>
        <v>29800398</v>
      </c>
      <c r="H28" s="101"/>
      <c r="I28" s="284"/>
      <c r="J28" s="33"/>
      <c r="K28" s="33"/>
    </row>
    <row r="29" spans="2:11" ht="6" customHeight="1">
      <c r="B29" s="503"/>
      <c r="C29" s="13"/>
      <c r="D29" s="14"/>
      <c r="E29" s="1"/>
      <c r="F29" s="53"/>
      <c r="G29" s="14"/>
      <c r="H29" s="1"/>
      <c r="I29" s="19"/>
      <c r="J29" s="15"/>
      <c r="K29" s="1"/>
    </row>
    <row r="30" spans="1:10" s="11" customFormat="1" ht="12.75" customHeight="1">
      <c r="A30" s="565"/>
      <c r="B30" s="565"/>
      <c r="C30" s="117" t="s">
        <v>286</v>
      </c>
      <c r="D30" s="118"/>
      <c r="E30" s="328"/>
      <c r="F30" s="205"/>
      <c r="G30" s="227">
        <f>_mvB</f>
        <v>150000</v>
      </c>
      <c r="H30" s="113"/>
      <c r="I30" s="158">
        <v>1</v>
      </c>
      <c r="J30" s="227">
        <f>G30*I30</f>
        <v>150000</v>
      </c>
    </row>
    <row r="31" spans="2:11" ht="6" customHeight="1">
      <c r="B31" s="13"/>
      <c r="C31" s="13"/>
      <c r="D31" s="14"/>
      <c r="E31" s="1"/>
      <c r="F31" s="53"/>
      <c r="G31" s="14"/>
      <c r="H31" s="1"/>
      <c r="I31" s="19"/>
      <c r="J31" s="15"/>
      <c r="K31" s="18"/>
    </row>
    <row r="32" spans="1:11" s="20" customFormat="1" ht="12.75" customHeight="1">
      <c r="A32" s="303" t="s">
        <v>33</v>
      </c>
      <c r="B32" s="304"/>
      <c r="C32" s="304"/>
      <c r="D32" s="304"/>
      <c r="E32" s="319"/>
      <c r="F32" s="319"/>
      <c r="G32" s="319"/>
      <c r="H32" s="319"/>
      <c r="I32" s="320"/>
      <c r="J32" s="321">
        <f>SUM(J7:J30)</f>
        <v>1398000</v>
      </c>
      <c r="K32" s="70"/>
    </row>
    <row r="33" spans="2:11" s="22" customFormat="1" ht="12.75" customHeight="1">
      <c r="B33" s="25"/>
      <c r="C33" s="25"/>
      <c r="D33" s="23"/>
      <c r="E33" s="52"/>
      <c r="F33" s="52"/>
      <c r="G33" s="23"/>
      <c r="H33" s="52"/>
      <c r="I33" s="248"/>
      <c r="J33" s="248"/>
      <c r="K33" s="32"/>
    </row>
    <row r="34" spans="2:10" ht="9" customHeight="1">
      <c r="B34" s="21"/>
      <c r="J34" s="505"/>
    </row>
    <row r="35" spans="1:10" ht="6" customHeight="1">
      <c r="A35" s="251"/>
      <c r="B35" s="251"/>
      <c r="C35" s="251"/>
      <c r="D35" s="271"/>
      <c r="E35" s="283"/>
      <c r="F35" s="283"/>
      <c r="G35" s="271"/>
      <c r="H35" s="283"/>
      <c r="J35" s="506"/>
    </row>
    <row r="36" spans="1:11" ht="12.75" customHeight="1">
      <c r="A36" s="249" t="s">
        <v>105</v>
      </c>
      <c r="B36" s="249"/>
      <c r="C36" s="249"/>
      <c r="D36" s="250"/>
      <c r="E36" s="250"/>
      <c r="F36" s="250"/>
      <c r="G36" s="250"/>
      <c r="H36" s="250"/>
      <c r="I36" s="249"/>
      <c r="J36" s="507"/>
      <c r="K36" s="508"/>
    </row>
    <row r="37" spans="1:10" ht="6.75" customHeight="1">
      <c r="A37" s="251"/>
      <c r="B37" s="251"/>
      <c r="C37" s="251"/>
      <c r="D37" s="251"/>
      <c r="E37" s="252"/>
      <c r="F37" s="252"/>
      <c r="G37" s="251"/>
      <c r="H37" s="252"/>
      <c r="J37" s="506"/>
    </row>
    <row r="38" spans="1:11" ht="12.75" customHeight="1">
      <c r="A38" s="253" t="s">
        <v>89</v>
      </c>
      <c r="B38" s="254"/>
      <c r="C38" s="254"/>
      <c r="D38" s="254"/>
      <c r="E38" s="254"/>
      <c r="F38" s="254"/>
      <c r="G38" s="254"/>
      <c r="H38" s="254"/>
      <c r="I38" s="63"/>
      <c r="J38" s="506"/>
      <c r="K38" s="18"/>
    </row>
    <row r="39" spans="1:11" ht="12.75" customHeight="1">
      <c r="A39" s="27"/>
      <c r="B39" s="27"/>
      <c r="C39" s="27"/>
      <c r="D39" s="1"/>
      <c r="E39" s="1"/>
      <c r="F39" s="1"/>
      <c r="G39" s="255" t="s">
        <v>5</v>
      </c>
      <c r="H39" s="256" t="s">
        <v>4</v>
      </c>
      <c r="J39" s="424"/>
      <c r="K39" s="64"/>
    </row>
    <row r="40" spans="2:11" ht="12.75" customHeight="1">
      <c r="B40" s="28" t="s">
        <v>47</v>
      </c>
      <c r="C40" s="66"/>
      <c r="D40" s="57"/>
      <c r="E40" s="57"/>
      <c r="F40" s="57"/>
      <c r="G40" s="175">
        <v>8</v>
      </c>
      <c r="H40" s="257" t="s">
        <v>60</v>
      </c>
      <c r="I40" s="19"/>
      <c r="J40" s="424"/>
      <c r="K40" s="64"/>
    </row>
    <row r="41" spans="2:11" ht="12.75" customHeight="1">
      <c r="B41" s="29" t="s">
        <v>48</v>
      </c>
      <c r="C41" s="67"/>
      <c r="D41" s="58"/>
      <c r="E41" s="58"/>
      <c r="F41" s="58"/>
      <c r="G41" s="176">
        <v>1</v>
      </c>
      <c r="H41" s="258" t="s">
        <v>61</v>
      </c>
      <c r="I41" s="19"/>
      <c r="J41" s="424"/>
      <c r="K41" s="64"/>
    </row>
    <row r="42" spans="2:11" ht="12.75" customHeight="1">
      <c r="B42" s="29" t="s">
        <v>49</v>
      </c>
      <c r="C42" s="67"/>
      <c r="D42" s="58"/>
      <c r="E42" s="58"/>
      <c r="F42" s="58"/>
      <c r="G42" s="176">
        <v>1</v>
      </c>
      <c r="H42" s="258" t="s">
        <v>61</v>
      </c>
      <c r="I42" s="19"/>
      <c r="J42" s="424"/>
      <c r="K42" s="64"/>
    </row>
    <row r="43" spans="2:11" ht="12.75" customHeight="1">
      <c r="B43" s="29" t="s">
        <v>50</v>
      </c>
      <c r="C43" s="58"/>
      <c r="D43" s="58"/>
      <c r="E43" s="58"/>
      <c r="F43" s="58"/>
      <c r="G43" s="176">
        <v>1</v>
      </c>
      <c r="H43" s="258" t="s">
        <v>61</v>
      </c>
      <c r="I43" s="19"/>
      <c r="J43" s="424"/>
      <c r="K43" s="64"/>
    </row>
    <row r="44" spans="1:11" ht="4.5" customHeight="1">
      <c r="A44" s="44"/>
      <c r="B44" s="44"/>
      <c r="C44" s="44"/>
      <c r="D44" s="1"/>
      <c r="E44" s="1"/>
      <c r="F44" s="1"/>
      <c r="G44" s="259"/>
      <c r="H44" s="259"/>
      <c r="I44" s="63"/>
      <c r="J44" s="424"/>
      <c r="K44" s="64"/>
    </row>
    <row r="45" spans="2:11" ht="12.75" customHeight="1">
      <c r="B45" s="27" t="s">
        <v>15</v>
      </c>
      <c r="C45" s="1"/>
      <c r="D45" s="260"/>
      <c r="E45" s="261"/>
      <c r="F45" s="261"/>
      <c r="G45" s="177">
        <v>0</v>
      </c>
      <c r="H45" s="261"/>
      <c r="J45" s="424"/>
      <c r="K45" s="1"/>
    </row>
    <row r="46" spans="1:11" ht="4.5" customHeight="1">
      <c r="A46" s="44"/>
      <c r="B46" s="44"/>
      <c r="C46" s="1"/>
      <c r="D46" s="261"/>
      <c r="E46" s="261"/>
      <c r="F46" s="261"/>
      <c r="G46" s="261"/>
      <c r="H46" s="261"/>
      <c r="I46" s="59"/>
      <c r="J46" s="424"/>
      <c r="K46" s="1"/>
    </row>
    <row r="47" spans="2:11" ht="12.75" customHeight="1">
      <c r="B47" s="27" t="s">
        <v>46</v>
      </c>
      <c r="C47" s="1"/>
      <c r="D47" s="260"/>
      <c r="E47" s="261"/>
      <c r="F47" s="261"/>
      <c r="G47" s="262">
        <f>SUM(G40:G45)</f>
        <v>11</v>
      </c>
      <c r="H47" s="261"/>
      <c r="J47" s="424"/>
      <c r="K47" s="1"/>
    </row>
    <row r="48" spans="2:11" ht="12.75" customHeight="1">
      <c r="B48" s="44"/>
      <c r="C48" s="1"/>
      <c r="D48" s="261"/>
      <c r="E48" s="261"/>
      <c r="F48" s="261"/>
      <c r="G48" s="261"/>
      <c r="H48" s="261"/>
      <c r="I48" s="59"/>
      <c r="J48" s="424"/>
      <c r="K48" s="1"/>
    </row>
    <row r="49" spans="1:11" ht="12.75" customHeight="1">
      <c r="A49" s="253" t="s">
        <v>16</v>
      </c>
      <c r="B49" s="253"/>
      <c r="C49" s="254"/>
      <c r="D49" s="254"/>
      <c r="E49" s="254"/>
      <c r="F49" s="254"/>
      <c r="G49" s="254"/>
      <c r="H49" s="254"/>
      <c r="I49" s="509"/>
      <c r="J49" s="1"/>
      <c r="K49" s="18"/>
    </row>
    <row r="50" spans="1:11" ht="4.5" customHeight="1">
      <c r="A50" s="263"/>
      <c r="B50" s="263"/>
      <c r="C50" s="263"/>
      <c r="D50" s="263"/>
      <c r="J50" s="1"/>
      <c r="K50" s="18"/>
    </row>
    <row r="51" spans="1:11" ht="12.75" customHeight="1">
      <c r="A51" s="264" t="s">
        <v>11</v>
      </c>
      <c r="B51" s="264"/>
      <c r="C51" s="1"/>
      <c r="G51" s="307">
        <f>J32</f>
        <v>1398000</v>
      </c>
      <c r="J51" s="1"/>
      <c r="K51" s="18"/>
    </row>
    <row r="52" spans="1:11" ht="7.5" customHeight="1">
      <c r="A52" s="30"/>
      <c r="B52" s="30"/>
      <c r="C52" s="30"/>
      <c r="D52" s="30"/>
      <c r="E52" s="26"/>
      <c r="F52" s="26"/>
      <c r="G52" s="260"/>
      <c r="J52" s="510"/>
      <c r="K52" s="18"/>
    </row>
    <row r="53" spans="1:11" ht="12.75" customHeight="1">
      <c r="A53" s="575" t="s">
        <v>172</v>
      </c>
      <c r="B53" s="575"/>
      <c r="C53" s="575"/>
      <c r="D53" s="575"/>
      <c r="E53" s="575"/>
      <c r="F53" s="167"/>
      <c r="G53" s="260"/>
      <c r="J53" s="510"/>
      <c r="K53" s="18"/>
    </row>
    <row r="54" spans="1:11" ht="12.75" customHeight="1">
      <c r="A54" s="166" t="str">
        <f>IF(A53="in Zusammenhang mit baulichen Planungsleistungen","Faktor aus Bewertungspunkten [fbw = 0,025 x bw +0,65]","Faktor aus Bewertungspunkten [fbw = 0,025 x bw +0,675]")</f>
        <v>Faktor aus Bewertungspunkten [fbw = 0,025 x bw +0,675]</v>
      </c>
      <c r="B54" s="27"/>
      <c r="C54" s="27"/>
      <c r="D54" s="27"/>
      <c r="E54" s="44"/>
      <c r="F54" s="26"/>
      <c r="G54" s="147">
        <f>IF(A53="in Zusammenhang mit baulichen Planungsleistungen",0.025*G47+0.65,0.025*G47+0.675)</f>
        <v>0.95</v>
      </c>
      <c r="H54" s="180"/>
      <c r="J54" s="510"/>
      <c r="K54" s="18"/>
    </row>
    <row r="55" spans="2:14" ht="4.5" customHeight="1">
      <c r="B55" s="1"/>
      <c r="C55" s="1"/>
      <c r="D55" s="1"/>
      <c r="E55" s="1"/>
      <c r="F55" s="165"/>
      <c r="G55" s="42"/>
      <c r="H55" s="180"/>
      <c r="J55" s="510"/>
      <c r="K55" s="18"/>
      <c r="L55" s="27"/>
      <c r="M55" s="27"/>
      <c r="N55" s="27"/>
    </row>
    <row r="56" spans="1:14" ht="12.75" customHeight="1">
      <c r="A56" s="354" t="s">
        <v>173</v>
      </c>
      <c r="B56" s="1"/>
      <c r="C56" s="1"/>
      <c r="D56" s="1"/>
      <c r="E56" s="1"/>
      <c r="F56" s="165"/>
      <c r="G56" s="369">
        <f>ROUND(60*G51^(-0.1045)*G54/100,6)</f>
        <v>0.129918</v>
      </c>
      <c r="H56" s="324" t="s">
        <v>138</v>
      </c>
      <c r="J56" s="510"/>
      <c r="K56" s="18"/>
      <c r="L56" s="27"/>
      <c r="M56" s="27"/>
      <c r="N56" s="27"/>
    </row>
    <row r="57" spans="1:16" ht="15.75" customHeight="1">
      <c r="A57" s="30" t="s">
        <v>292</v>
      </c>
      <c r="B57" s="30"/>
      <c r="C57" s="30"/>
      <c r="D57" s="30"/>
      <c r="E57" s="1"/>
      <c r="F57" s="1"/>
      <c r="G57" s="522">
        <v>0.1</v>
      </c>
      <c r="H57" s="291"/>
      <c r="I57" s="353"/>
      <c r="J57" s="1"/>
      <c r="K57" s="46"/>
      <c r="L57" s="9"/>
      <c r="M57" s="510"/>
      <c r="N57" s="18"/>
      <c r="O57"/>
      <c r="P57"/>
    </row>
    <row r="58" spans="1:11" ht="7.5" customHeight="1">
      <c r="A58" s="30"/>
      <c r="B58" s="30"/>
      <c r="C58" s="30"/>
      <c r="D58" s="1"/>
      <c r="E58" s="1"/>
      <c r="F58" s="1"/>
      <c r="G58" s="265"/>
      <c r="H58" s="265"/>
      <c r="J58" s="510"/>
      <c r="K58" s="18"/>
    </row>
    <row r="59" spans="1:11" ht="15" customHeight="1">
      <c r="A59" s="31" t="s">
        <v>100</v>
      </c>
      <c r="B59" s="28"/>
      <c r="C59" s="28"/>
      <c r="D59" s="266"/>
      <c r="E59" s="267"/>
      <c r="F59" s="267"/>
      <c r="G59" s="268"/>
      <c r="H59" s="524">
        <f>ROUND(G51*G56*(1+G57),2)</f>
        <v>199788</v>
      </c>
      <c r="I59" s="71"/>
      <c r="J59" s="1"/>
      <c r="K59" s="18"/>
    </row>
    <row r="60" spans="1:11" ht="12.75" customHeight="1">
      <c r="A60" s="43"/>
      <c r="B60" s="44"/>
      <c r="C60" s="44"/>
      <c r="D60" s="269"/>
      <c r="E60" s="269"/>
      <c r="F60" s="269"/>
      <c r="G60" s="270"/>
      <c r="H60" s="270"/>
      <c r="I60" s="63"/>
      <c r="J60" s="45"/>
      <c r="K60" s="18"/>
    </row>
    <row r="61" spans="1:11" ht="12.75" customHeight="1">
      <c r="A61" s="43"/>
      <c r="B61" s="44"/>
      <c r="C61" s="44"/>
      <c r="D61" s="269"/>
      <c r="E61" s="559" t="s">
        <v>329</v>
      </c>
      <c r="F61" s="269"/>
      <c r="G61" s="558" t="s">
        <v>5</v>
      </c>
      <c r="H61" s="270"/>
      <c r="I61" s="63"/>
      <c r="J61" s="45"/>
      <c r="K61" s="18"/>
    </row>
    <row r="62" spans="1:10" ht="12.75" customHeight="1">
      <c r="A62" s="271" t="s">
        <v>128</v>
      </c>
      <c r="B62" s="271"/>
      <c r="C62" s="272"/>
      <c r="D62" s="1"/>
      <c r="E62" s="554">
        <v>0.02</v>
      </c>
      <c r="F62" s="274"/>
      <c r="G62" s="343">
        <v>0.02</v>
      </c>
      <c r="H62" s="285">
        <f>$H$59*G62</f>
        <v>3996</v>
      </c>
      <c r="I62" s="59"/>
      <c r="J62" s="510"/>
    </row>
    <row r="63" spans="1:10" ht="12.75" customHeight="1">
      <c r="A63" s="271" t="s">
        <v>36</v>
      </c>
      <c r="B63" s="271"/>
      <c r="C63" s="272"/>
      <c r="D63" s="1"/>
      <c r="E63" s="554">
        <v>0.09</v>
      </c>
      <c r="F63" s="274"/>
      <c r="G63" s="344">
        <v>0.09</v>
      </c>
      <c r="H63" s="285">
        <f aca="true" t="shared" si="0" ref="H63:H71">$H$59*G63</f>
        <v>17981</v>
      </c>
      <c r="I63" s="59"/>
      <c r="J63" s="238"/>
    </row>
    <row r="64" spans="1:10" ht="12.75" customHeight="1">
      <c r="A64" s="271" t="s">
        <v>37</v>
      </c>
      <c r="B64" s="271"/>
      <c r="C64" s="272"/>
      <c r="D64" s="1"/>
      <c r="E64" s="554">
        <v>0.13</v>
      </c>
      <c r="F64" s="274"/>
      <c r="G64" s="344">
        <v>0.13</v>
      </c>
      <c r="H64" s="285">
        <f t="shared" si="0"/>
        <v>25972</v>
      </c>
      <c r="I64" s="59"/>
      <c r="J64" s="238"/>
    </row>
    <row r="65" spans="1:10" ht="12.75" customHeight="1">
      <c r="A65" s="271" t="s">
        <v>38</v>
      </c>
      <c r="B65" s="271"/>
      <c r="C65" s="272"/>
      <c r="D65" s="1"/>
      <c r="E65" s="554">
        <v>0</v>
      </c>
      <c r="F65" s="274"/>
      <c r="G65" s="344">
        <v>0</v>
      </c>
      <c r="H65" s="285">
        <f t="shared" si="0"/>
        <v>0</v>
      </c>
      <c r="I65" s="59"/>
      <c r="J65" s="238"/>
    </row>
    <row r="66" spans="1:10" ht="12.75" customHeight="1">
      <c r="A66" s="271" t="s">
        <v>39</v>
      </c>
      <c r="B66" s="271"/>
      <c r="C66" s="272"/>
      <c r="D66" s="1"/>
      <c r="E66" s="554">
        <v>0.29</v>
      </c>
      <c r="F66" s="274"/>
      <c r="G66" s="344">
        <v>0.29</v>
      </c>
      <c r="H66" s="285">
        <f t="shared" si="0"/>
        <v>57939</v>
      </c>
      <c r="I66" s="59"/>
      <c r="J66" s="238"/>
    </row>
    <row r="67" spans="1:10" ht="12.75" customHeight="1">
      <c r="A67" s="271" t="s">
        <v>40</v>
      </c>
      <c r="B67" s="271"/>
      <c r="C67" s="272"/>
      <c r="D67" s="1"/>
      <c r="E67" s="554">
        <v>0.09</v>
      </c>
      <c r="F67" s="274"/>
      <c r="G67" s="344">
        <v>0.09</v>
      </c>
      <c r="H67" s="285">
        <f t="shared" si="0"/>
        <v>17981</v>
      </c>
      <c r="I67" s="59"/>
      <c r="J67" s="238"/>
    </row>
    <row r="68" spans="1:10" ht="12.75" customHeight="1">
      <c r="A68" s="271" t="s">
        <v>41</v>
      </c>
      <c r="B68" s="271"/>
      <c r="C68" s="272"/>
      <c r="D68" s="1"/>
      <c r="E68" s="554">
        <v>0.04</v>
      </c>
      <c r="F68" s="274"/>
      <c r="G68" s="344">
        <v>0.04</v>
      </c>
      <c r="H68" s="285">
        <f t="shared" si="0"/>
        <v>7992</v>
      </c>
      <c r="I68" s="59"/>
      <c r="J68" s="238"/>
    </row>
    <row r="69" spans="1:10" ht="12.75" customHeight="1">
      <c r="A69" s="271" t="s">
        <v>55</v>
      </c>
      <c r="B69" s="271"/>
      <c r="C69" s="272"/>
      <c r="D69" s="1"/>
      <c r="E69" s="554">
        <v>0.04</v>
      </c>
      <c r="F69" s="274"/>
      <c r="G69" s="344">
        <v>0.04</v>
      </c>
      <c r="H69" s="285">
        <f t="shared" si="0"/>
        <v>7992</v>
      </c>
      <c r="I69" s="59"/>
      <c r="J69" s="238"/>
    </row>
    <row r="70" spans="1:10" ht="12.75" customHeight="1">
      <c r="A70" s="251" t="s">
        <v>43</v>
      </c>
      <c r="B70" s="251"/>
      <c r="C70" s="272"/>
      <c r="D70" s="1"/>
      <c r="E70" s="554">
        <v>0.3</v>
      </c>
      <c r="F70" s="274"/>
      <c r="G70" s="344">
        <v>0.3</v>
      </c>
      <c r="H70" s="285">
        <f t="shared" si="0"/>
        <v>59936</v>
      </c>
      <c r="I70" s="59"/>
      <c r="J70" s="238"/>
    </row>
    <row r="71" spans="1:10" ht="12.75" customHeight="1">
      <c r="A71" s="276" t="s">
        <v>56</v>
      </c>
      <c r="B71" s="276"/>
      <c r="C71" s="277"/>
      <c r="D71" s="57"/>
      <c r="E71" s="556">
        <v>0</v>
      </c>
      <c r="F71" s="279"/>
      <c r="G71" s="345">
        <v>0</v>
      </c>
      <c r="H71" s="286">
        <f t="shared" si="0"/>
        <v>0</v>
      </c>
      <c r="I71" s="63"/>
      <c r="J71" s="238"/>
    </row>
    <row r="72" spans="1:10" ht="12.75" customHeight="1">
      <c r="A72" s="280" t="s">
        <v>45</v>
      </c>
      <c r="B72" s="251"/>
      <c r="C72" s="30"/>
      <c r="D72" s="1"/>
      <c r="E72" s="281"/>
      <c r="F72" s="281"/>
      <c r="G72" s="346">
        <f>SUM(G62:G71)</f>
        <v>1</v>
      </c>
      <c r="H72" s="287">
        <f>SUM(H62:H71)</f>
        <v>199789</v>
      </c>
      <c r="J72" s="146">
        <f>H72</f>
        <v>199789</v>
      </c>
    </row>
    <row r="73" spans="7:10" ht="12.75" customHeight="1">
      <c r="G73" s="347"/>
      <c r="J73" s="238"/>
    </row>
    <row r="74" spans="1:14" ht="12.75" customHeight="1">
      <c r="A74" s="54" t="s">
        <v>171</v>
      </c>
      <c r="G74" s="355">
        <v>0</v>
      </c>
      <c r="H74" s="356">
        <v>0</v>
      </c>
      <c r="J74" s="146">
        <f>G74*H74</f>
        <v>0</v>
      </c>
      <c r="L74" s="49"/>
      <c r="M74" s="49"/>
      <c r="N74" s="49"/>
    </row>
    <row r="75" spans="7:10" ht="12.75" customHeight="1">
      <c r="G75" s="347"/>
      <c r="J75" s="238"/>
    </row>
    <row r="76" spans="1:11" s="35" customFormat="1" ht="12.75">
      <c r="A76" s="141" t="s">
        <v>155</v>
      </c>
      <c r="B76" s="142"/>
      <c r="C76" s="143"/>
      <c r="D76" s="143"/>
      <c r="E76" s="144"/>
      <c r="F76" s="145"/>
      <c r="G76" s="348"/>
      <c r="H76" s="144"/>
      <c r="I76" s="144"/>
      <c r="J76" s="146">
        <f>J72+J74</f>
        <v>199789</v>
      </c>
      <c r="K76" s="39"/>
    </row>
    <row r="77" spans="2:11" s="35" customFormat="1" ht="4.5" customHeight="1">
      <c r="B77" s="36"/>
      <c r="C77" s="37"/>
      <c r="D77" s="37"/>
      <c r="E77" s="72"/>
      <c r="F77" s="73"/>
      <c r="G77" s="341"/>
      <c r="H77" s="102"/>
      <c r="J77" s="135"/>
      <c r="K77" s="39"/>
    </row>
    <row r="78" spans="1:11" s="35" customFormat="1" ht="12.75">
      <c r="A78" s="75" t="s">
        <v>13</v>
      </c>
      <c r="B78" s="36"/>
      <c r="C78" s="37"/>
      <c r="D78" s="37"/>
      <c r="E78" s="83"/>
      <c r="F78" s="83"/>
      <c r="G78" s="338">
        <v>0.04</v>
      </c>
      <c r="H78" s="103"/>
      <c r="I78" s="40"/>
      <c r="J78" s="136">
        <f>ROUND(J76*G78,2)</f>
        <v>7992</v>
      </c>
      <c r="K78" s="39"/>
    </row>
    <row r="79" spans="1:11" s="35" customFormat="1" ht="3" customHeight="1">
      <c r="A79" s="76"/>
      <c r="B79" s="77"/>
      <c r="C79" s="78"/>
      <c r="D79" s="78"/>
      <c r="E79" s="85"/>
      <c r="F79" s="85"/>
      <c r="G79" s="339"/>
      <c r="H79" s="104"/>
      <c r="I79" s="76"/>
      <c r="J79" s="137"/>
      <c r="K79" s="39"/>
    </row>
    <row r="80" spans="2:11" s="35" customFormat="1" ht="3" customHeight="1">
      <c r="B80" s="36"/>
      <c r="C80" s="37"/>
      <c r="D80" s="37"/>
      <c r="E80" s="79"/>
      <c r="F80" s="79"/>
      <c r="G80" s="341"/>
      <c r="H80" s="102"/>
      <c r="J80" s="135"/>
      <c r="K80" s="39"/>
    </row>
    <row r="81" spans="1:11" s="35" customFormat="1" ht="12.75">
      <c r="A81" s="80" t="s">
        <v>154</v>
      </c>
      <c r="B81" s="81"/>
      <c r="C81" s="82"/>
      <c r="D81" s="82"/>
      <c r="E81" s="38"/>
      <c r="F81" s="38"/>
      <c r="G81" s="337"/>
      <c r="H81" s="103"/>
      <c r="I81" s="40"/>
      <c r="J81" s="138">
        <f>J76+J78</f>
        <v>207781</v>
      </c>
      <c r="K81" s="39"/>
    </row>
    <row r="82" spans="1:11" s="35" customFormat="1" ht="12.75">
      <c r="A82" s="35" t="s">
        <v>14</v>
      </c>
      <c r="B82" s="36"/>
      <c r="D82" s="37"/>
      <c r="E82" s="79"/>
      <c r="F82" s="79"/>
      <c r="G82" s="41">
        <v>0.2</v>
      </c>
      <c r="H82" s="41"/>
      <c r="J82" s="139">
        <f>ROUND(J81*G82,2)</f>
        <v>41556</v>
      </c>
      <c r="K82" s="39"/>
    </row>
    <row r="83" spans="1:11" s="35" customFormat="1" ht="3" customHeight="1">
      <c r="A83" s="40"/>
      <c r="B83" s="308"/>
      <c r="C83" s="87"/>
      <c r="D83" s="87"/>
      <c r="E83" s="79"/>
      <c r="F83" s="79"/>
      <c r="G83" s="74"/>
      <c r="H83" s="102"/>
      <c r="J83" s="140"/>
      <c r="K83" s="39"/>
    </row>
    <row r="84" spans="1:11" s="40" customFormat="1" ht="12.75">
      <c r="A84" s="296" t="s">
        <v>153</v>
      </c>
      <c r="B84" s="309"/>
      <c r="C84" s="297"/>
      <c r="D84" s="297"/>
      <c r="E84" s="298"/>
      <c r="F84" s="299"/>
      <c r="G84" s="300"/>
      <c r="H84" s="300"/>
      <c r="I84" s="298"/>
      <c r="J84" s="301">
        <f>SUM(J81:J82)</f>
        <v>249337</v>
      </c>
      <c r="K84" s="39"/>
    </row>
    <row r="85" ht="4.5" customHeight="1"/>
    <row r="86" spans="1:7" ht="12.75">
      <c r="A86" s="311" t="s">
        <v>136</v>
      </c>
      <c r="G86" s="520">
        <f>J81/G28</f>
        <v>0.006972</v>
      </c>
    </row>
    <row r="92" ht="12.75">
      <c r="A92" s="178" t="s">
        <v>99</v>
      </c>
    </row>
    <row r="93" ht="12.75">
      <c r="A93" s="178" t="s">
        <v>98</v>
      </c>
    </row>
  </sheetData>
  <sheetProtection password="D2DC" sheet="1"/>
  <mergeCells count="15">
    <mergeCell ref="I2:J2"/>
    <mergeCell ref="A7:B7"/>
    <mergeCell ref="A9:B9"/>
    <mergeCell ref="A11:B11"/>
    <mergeCell ref="A13:B13"/>
    <mergeCell ref="A15:B15"/>
    <mergeCell ref="A26:B26"/>
    <mergeCell ref="A30:B30"/>
    <mergeCell ref="A53:E53"/>
    <mergeCell ref="A16:B16"/>
    <mergeCell ref="A17:B17"/>
    <mergeCell ref="A18:B18"/>
    <mergeCell ref="A20:B20"/>
    <mergeCell ref="A22:B22"/>
    <mergeCell ref="A24:B24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2:N84"/>
  <sheetViews>
    <sheetView showGridLines="0" zoomScale="85" zoomScaleNormal="85" zoomScaleSheetLayoutView="85" zoomScalePageLayoutView="70" workbookViewId="0" topLeftCell="A28">
      <selection activeCell="J61" sqref="J61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124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G7/$G$25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G9/$G$25</f>
        <v>0.302</v>
      </c>
      <c r="G9" s="227">
        <f>_2</f>
        <v>9000000</v>
      </c>
      <c r="H9" s="113"/>
      <c r="I9" s="158">
        <v>0</v>
      </c>
      <c r="J9" s="227">
        <f>G9*I9</f>
        <v>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G11/$G$25</f>
        <v>0.19</v>
      </c>
      <c r="G11" s="228">
        <f>_3</f>
        <v>5650000</v>
      </c>
      <c r="H11" s="113"/>
      <c r="I11" s="158">
        <v>0</v>
      </c>
      <c r="J11" s="227">
        <f>G11*I11</f>
        <v>0</v>
      </c>
      <c r="K11" s="56"/>
    </row>
    <row r="12" spans="2:11" ht="6.75" customHeight="1">
      <c r="B12" s="13"/>
      <c r="C12" s="13"/>
      <c r="D12" s="14"/>
      <c r="E12" s="14"/>
      <c r="F12" s="206"/>
      <c r="G12" s="186"/>
      <c r="H12" s="1"/>
      <c r="I12" s="159"/>
      <c r="J12" s="186"/>
      <c r="K12" s="55"/>
    </row>
    <row r="13" spans="1:11" s="11" customFormat="1" ht="12.75" customHeight="1">
      <c r="A13" s="565">
        <v>4</v>
      </c>
      <c r="B13" s="565"/>
      <c r="C13" s="117"/>
      <c r="D13" s="118" t="s">
        <v>2</v>
      </c>
      <c r="E13" s="118"/>
      <c r="F13" s="205">
        <f>G13/$G$25</f>
        <v>0.201</v>
      </c>
      <c r="G13" s="227">
        <f>_4</f>
        <v>6000000</v>
      </c>
      <c r="H13" s="113"/>
      <c r="I13" s="158">
        <v>0</v>
      </c>
      <c r="J13" s="227">
        <f>G13*I13</f>
        <v>0</v>
      </c>
      <c r="K13" s="56"/>
    </row>
    <row r="14" spans="2:11" ht="6.75" customHeight="1">
      <c r="B14" s="4"/>
      <c r="C14" s="6"/>
      <c r="D14" s="1"/>
      <c r="E14" s="1"/>
      <c r="F14" s="206"/>
      <c r="G14" s="186"/>
      <c r="H14" s="1"/>
      <c r="I14" s="160"/>
      <c r="J14" s="186"/>
      <c r="K14" s="54"/>
    </row>
    <row r="15" spans="1:11" s="12" customFormat="1" ht="12.75" customHeight="1">
      <c r="A15" s="565">
        <v>5</v>
      </c>
      <c r="B15" s="565"/>
      <c r="C15" s="117"/>
      <c r="D15" s="118" t="s">
        <v>9</v>
      </c>
      <c r="E15" s="118"/>
      <c r="F15" s="205">
        <f>G15/$G$25</f>
        <v>0.055</v>
      </c>
      <c r="G15" s="229">
        <f>_5</f>
        <v>1650000</v>
      </c>
      <c r="H15" s="113"/>
      <c r="I15" s="158">
        <v>0</v>
      </c>
      <c r="J15" s="227">
        <f>G15*I15</f>
        <v>0</v>
      </c>
      <c r="K15" s="56"/>
    </row>
    <row r="16" spans="2:11" ht="6.75" customHeight="1">
      <c r="B16" s="13"/>
      <c r="C16" s="13"/>
      <c r="D16" s="14"/>
      <c r="E16" s="14"/>
      <c r="F16" s="206"/>
      <c r="G16" s="223"/>
      <c r="H16" s="1"/>
      <c r="I16" s="132"/>
      <c r="J16" s="223"/>
      <c r="K16" s="56"/>
    </row>
    <row r="17" spans="1:11" s="11" customFormat="1" ht="12.75" customHeight="1">
      <c r="A17" s="565">
        <v>6</v>
      </c>
      <c r="B17" s="565"/>
      <c r="C17" s="117"/>
      <c r="D17" s="118" t="s">
        <v>3</v>
      </c>
      <c r="E17" s="118"/>
      <c r="F17" s="205">
        <f>G17/$G$25</f>
        <v>0.017</v>
      </c>
      <c r="G17" s="227">
        <f>_6</f>
        <v>500000</v>
      </c>
      <c r="H17" s="113"/>
      <c r="I17" s="158">
        <v>1</v>
      </c>
      <c r="J17" s="227">
        <f>G17*I17</f>
        <v>500000</v>
      </c>
      <c r="K17" s="56"/>
    </row>
    <row r="18" spans="2:11" ht="6.75" customHeight="1">
      <c r="B18" s="17"/>
      <c r="C18" s="5"/>
      <c r="D18" s="1"/>
      <c r="E18" s="1"/>
      <c r="F18" s="209"/>
      <c r="G18" s="186"/>
      <c r="H18" s="1"/>
      <c r="I18" s="160"/>
      <c r="J18" s="186"/>
      <c r="K18" s="56"/>
    </row>
    <row r="19" spans="1:11" s="12" customFormat="1" ht="12.75" customHeight="1">
      <c r="A19" s="565">
        <v>7</v>
      </c>
      <c r="B19" s="565"/>
      <c r="C19" s="117"/>
      <c r="D19" s="118" t="s">
        <v>143</v>
      </c>
      <c r="E19" s="118"/>
      <c r="F19" s="205">
        <f>G19/$G$25</f>
        <v>0.18</v>
      </c>
      <c r="G19" s="227">
        <f>_7</f>
        <v>5349398</v>
      </c>
      <c r="H19" s="113"/>
      <c r="I19" s="158">
        <v>0</v>
      </c>
      <c r="J19" s="227">
        <f>G19*I19</f>
        <v>0</v>
      </c>
      <c r="K19" s="56"/>
    </row>
    <row r="20" spans="2:11" ht="6.75" customHeight="1">
      <c r="B20" s="13"/>
      <c r="C20" s="13"/>
      <c r="D20" s="14"/>
      <c r="E20" s="14"/>
      <c r="F20" s="209"/>
      <c r="G20" s="223"/>
      <c r="H20" s="1"/>
      <c r="I20" s="132"/>
      <c r="J20" s="223"/>
      <c r="K20" s="56"/>
    </row>
    <row r="21" spans="1:11" s="12" customFormat="1" ht="12.75" customHeight="1">
      <c r="A21" s="565">
        <v>8</v>
      </c>
      <c r="B21" s="565"/>
      <c r="C21" s="117"/>
      <c r="D21" s="118" t="s">
        <v>135</v>
      </c>
      <c r="E21" s="118"/>
      <c r="F21" s="205">
        <f>G21/$G$25</f>
        <v>0.001</v>
      </c>
      <c r="G21" s="227">
        <f>_8</f>
        <v>36000</v>
      </c>
      <c r="H21" s="113"/>
      <c r="I21" s="158">
        <v>0</v>
      </c>
      <c r="J21" s="227">
        <f>G21*I21</f>
        <v>0</v>
      </c>
      <c r="K21" s="56"/>
    </row>
    <row r="22" spans="2:11" ht="6.75" customHeight="1">
      <c r="B22" s="13"/>
      <c r="C22" s="13"/>
      <c r="D22" s="14"/>
      <c r="E22" s="14"/>
      <c r="F22" s="209"/>
      <c r="G22" s="186"/>
      <c r="H22" s="1"/>
      <c r="I22" s="159"/>
      <c r="J22" s="186"/>
      <c r="K22" s="55"/>
    </row>
    <row r="23" spans="1:11" s="12" customFormat="1" ht="12.75" customHeight="1">
      <c r="A23" s="565">
        <v>9</v>
      </c>
      <c r="B23" s="565"/>
      <c r="C23" s="117"/>
      <c r="D23" s="118" t="s">
        <v>10</v>
      </c>
      <c r="E23" s="118"/>
      <c r="F23" s="205">
        <f>G23/$G$25</f>
        <v>0.054</v>
      </c>
      <c r="G23" s="227">
        <f>_9</f>
        <v>1600000</v>
      </c>
      <c r="H23" s="113"/>
      <c r="I23" s="158">
        <v>0.01</v>
      </c>
      <c r="J23" s="227">
        <f>G23*I23</f>
        <v>16000</v>
      </c>
      <c r="K23" s="56"/>
    </row>
    <row r="24" spans="2:11" ht="12" customHeight="1">
      <c r="B24" s="17"/>
      <c r="C24" s="5"/>
      <c r="D24" s="1"/>
      <c r="E24" s="1"/>
      <c r="F24" s="53"/>
      <c r="G24" s="1"/>
      <c r="H24" s="1"/>
      <c r="I24" s="1"/>
      <c r="J24" s="1"/>
      <c r="K24" s="1"/>
    </row>
    <row r="25" spans="1:11" ht="12.75" customHeight="1">
      <c r="A25" s="169" t="s">
        <v>12</v>
      </c>
      <c r="B25" s="170"/>
      <c r="C25" s="170"/>
      <c r="D25" s="170"/>
      <c r="E25" s="100"/>
      <c r="F25" s="111">
        <f>SUM(F7:F23)</f>
        <v>1</v>
      </c>
      <c r="G25" s="134">
        <f>_EK</f>
        <v>29800398</v>
      </c>
      <c r="H25" s="101"/>
      <c r="I25" s="284"/>
      <c r="J25" s="33"/>
      <c r="K25" s="33"/>
    </row>
    <row r="26" spans="2:11" ht="6" customHeight="1">
      <c r="B26" s="503"/>
      <c r="C26" s="13"/>
      <c r="D26" s="14"/>
      <c r="E26" s="1"/>
      <c r="F26" s="53"/>
      <c r="G26" s="14"/>
      <c r="H26" s="1"/>
      <c r="I26" s="19"/>
      <c r="J26" s="15"/>
      <c r="K26" s="1"/>
    </row>
    <row r="27" spans="1:10" s="11" customFormat="1" ht="12.75" customHeight="1">
      <c r="A27" s="565"/>
      <c r="B27" s="565"/>
      <c r="C27" s="117" t="s">
        <v>286</v>
      </c>
      <c r="D27" s="118"/>
      <c r="E27" s="328"/>
      <c r="F27" s="205"/>
      <c r="G27" s="227">
        <f>_mvB</f>
        <v>150000</v>
      </c>
      <c r="H27" s="113"/>
      <c r="I27" s="158">
        <v>1</v>
      </c>
      <c r="J27" s="227">
        <f>G27*I27</f>
        <v>150000</v>
      </c>
    </row>
    <row r="28" spans="2:11" ht="6" customHeight="1">
      <c r="B28" s="13"/>
      <c r="C28" s="13"/>
      <c r="D28" s="14"/>
      <c r="E28" s="1"/>
      <c r="F28" s="53"/>
      <c r="G28" s="14"/>
      <c r="H28" s="1"/>
      <c r="I28" s="19"/>
      <c r="J28" s="15"/>
      <c r="K28" s="18"/>
    </row>
    <row r="29" spans="1:11" s="20" customFormat="1" ht="12.75" customHeight="1">
      <c r="A29" s="303" t="s">
        <v>33</v>
      </c>
      <c r="B29" s="304"/>
      <c r="C29" s="304"/>
      <c r="D29" s="304"/>
      <c r="E29" s="319"/>
      <c r="F29" s="319"/>
      <c r="G29" s="319"/>
      <c r="H29" s="319"/>
      <c r="I29" s="320"/>
      <c r="J29" s="321">
        <f>SUM(J7:J27)</f>
        <v>666000</v>
      </c>
      <c r="K29" s="70"/>
    </row>
    <row r="30" spans="2:11" s="22" customFormat="1" ht="12.75" customHeight="1">
      <c r="B30" s="25"/>
      <c r="C30" s="25"/>
      <c r="D30" s="23"/>
      <c r="E30" s="52"/>
      <c r="F30" s="52"/>
      <c r="G30" s="23"/>
      <c r="H30" s="52"/>
      <c r="I30" s="248"/>
      <c r="J30" s="248"/>
      <c r="K30" s="32"/>
    </row>
    <row r="31" spans="2:10" ht="9" customHeight="1">
      <c r="B31" s="21"/>
      <c r="J31" s="505"/>
    </row>
    <row r="32" spans="1:10" ht="6" customHeight="1">
      <c r="A32" s="251"/>
      <c r="B32" s="251"/>
      <c r="C32" s="251"/>
      <c r="D32" s="271"/>
      <c r="E32" s="283"/>
      <c r="F32" s="283"/>
      <c r="G32" s="271"/>
      <c r="H32" s="283"/>
      <c r="J32" s="506"/>
    </row>
    <row r="33" spans="1:11" ht="12.75" customHeight="1">
      <c r="A33" s="249" t="s">
        <v>67</v>
      </c>
      <c r="B33" s="249"/>
      <c r="C33" s="249"/>
      <c r="D33" s="250"/>
      <c r="E33" s="250"/>
      <c r="F33" s="250"/>
      <c r="G33" s="250"/>
      <c r="H33" s="250"/>
      <c r="I33" s="249"/>
      <c r="J33" s="507"/>
      <c r="K33" s="508"/>
    </row>
    <row r="34" spans="1:10" ht="6.75" customHeight="1">
      <c r="A34" s="251"/>
      <c r="B34" s="251"/>
      <c r="C34" s="251"/>
      <c r="D34" s="251"/>
      <c r="E34" s="252"/>
      <c r="F34" s="252"/>
      <c r="G34" s="251"/>
      <c r="H34" s="252"/>
      <c r="J34" s="506"/>
    </row>
    <row r="35" spans="1:11" ht="12.75" customHeight="1">
      <c r="A35" s="253" t="s">
        <v>89</v>
      </c>
      <c r="B35" s="254"/>
      <c r="C35" s="254"/>
      <c r="D35" s="254"/>
      <c r="E35" s="254"/>
      <c r="F35" s="254"/>
      <c r="G35" s="254"/>
      <c r="H35" s="254"/>
      <c r="I35" s="63"/>
      <c r="J35" s="506"/>
      <c r="K35" s="18"/>
    </row>
    <row r="36" spans="1:11" ht="12.75" customHeight="1">
      <c r="A36" s="27"/>
      <c r="B36" s="27"/>
      <c r="C36" s="27"/>
      <c r="D36" s="1"/>
      <c r="E36" s="1"/>
      <c r="F36" s="1"/>
      <c r="G36" s="255" t="s">
        <v>5</v>
      </c>
      <c r="H36" s="256" t="s">
        <v>4</v>
      </c>
      <c r="J36" s="424"/>
      <c r="K36" s="64"/>
    </row>
    <row r="37" spans="2:11" ht="12.75" customHeight="1">
      <c r="B37" s="28" t="s">
        <v>47</v>
      </c>
      <c r="C37" s="66"/>
      <c r="D37" s="57"/>
      <c r="E37" s="57"/>
      <c r="F37" s="57"/>
      <c r="G37" s="175">
        <v>11</v>
      </c>
      <c r="H37" s="257" t="s">
        <v>34</v>
      </c>
      <c r="I37" s="19"/>
      <c r="J37" s="424"/>
      <c r="K37" s="64"/>
    </row>
    <row r="38" spans="2:11" ht="12.75" customHeight="1">
      <c r="B38" s="29" t="s">
        <v>48</v>
      </c>
      <c r="C38" s="67"/>
      <c r="D38" s="58"/>
      <c r="E38" s="58"/>
      <c r="F38" s="58"/>
      <c r="G38" s="176">
        <v>2</v>
      </c>
      <c r="H38" s="258" t="s">
        <v>6</v>
      </c>
      <c r="I38" s="19"/>
      <c r="J38" s="424"/>
      <c r="K38" s="64"/>
    </row>
    <row r="39" spans="2:11" ht="12.75" customHeight="1">
      <c r="B39" s="29" t="s">
        <v>49</v>
      </c>
      <c r="C39" s="67"/>
      <c r="D39" s="58"/>
      <c r="E39" s="58"/>
      <c r="F39" s="58"/>
      <c r="G39" s="176">
        <v>1</v>
      </c>
      <c r="H39" s="258" t="s">
        <v>6</v>
      </c>
      <c r="I39" s="19"/>
      <c r="J39" s="424"/>
      <c r="K39" s="64"/>
    </row>
    <row r="40" spans="2:11" ht="12.75" customHeight="1">
      <c r="B40" s="29" t="s">
        <v>50</v>
      </c>
      <c r="C40" s="58"/>
      <c r="D40" s="58"/>
      <c r="E40" s="58"/>
      <c r="F40" s="58"/>
      <c r="G40" s="176">
        <v>1</v>
      </c>
      <c r="H40" s="258" t="s">
        <v>6</v>
      </c>
      <c r="I40" s="19"/>
      <c r="J40" s="424"/>
      <c r="K40" s="64"/>
    </row>
    <row r="41" spans="1:11" ht="4.5" customHeight="1">
      <c r="A41" s="44"/>
      <c r="B41" s="44"/>
      <c r="C41" s="44"/>
      <c r="D41" s="1"/>
      <c r="E41" s="1"/>
      <c r="F41" s="1"/>
      <c r="G41" s="259"/>
      <c r="H41" s="259"/>
      <c r="I41" s="63"/>
      <c r="J41" s="424"/>
      <c r="K41" s="64"/>
    </row>
    <row r="42" spans="2:11" ht="12.75" customHeight="1">
      <c r="B42" s="27" t="s">
        <v>15</v>
      </c>
      <c r="C42" s="1"/>
      <c r="D42" s="260"/>
      <c r="E42" s="261"/>
      <c r="F42" s="261"/>
      <c r="G42" s="177">
        <v>0</v>
      </c>
      <c r="H42" s="261"/>
      <c r="J42" s="424"/>
      <c r="K42" s="1"/>
    </row>
    <row r="43" spans="1:11" ht="4.5" customHeight="1">
      <c r="A43" s="44"/>
      <c r="B43" s="44"/>
      <c r="C43" s="1"/>
      <c r="D43" s="261"/>
      <c r="E43" s="261"/>
      <c r="F43" s="261"/>
      <c r="G43" s="261"/>
      <c r="H43" s="261"/>
      <c r="I43" s="59"/>
      <c r="J43" s="424"/>
      <c r="K43" s="1"/>
    </row>
    <row r="44" spans="2:11" ht="12.75" customHeight="1">
      <c r="B44" s="27" t="s">
        <v>46</v>
      </c>
      <c r="C44" s="1"/>
      <c r="D44" s="260"/>
      <c r="E44" s="261"/>
      <c r="F44" s="261"/>
      <c r="G44" s="262">
        <f>SUM(G37:G42)</f>
        <v>15</v>
      </c>
      <c r="H44" s="261"/>
      <c r="J44" s="424"/>
      <c r="K44" s="1"/>
    </row>
    <row r="45" spans="2:11" ht="12.75" customHeight="1">
      <c r="B45" s="44"/>
      <c r="C45" s="1"/>
      <c r="D45" s="261"/>
      <c r="E45" s="261"/>
      <c r="F45" s="261"/>
      <c r="G45" s="261"/>
      <c r="H45" s="261"/>
      <c r="I45" s="59"/>
      <c r="J45" s="424"/>
      <c r="K45" s="1"/>
    </row>
    <row r="46" spans="1:11" ht="12.75" customHeight="1">
      <c r="A46" s="253" t="s">
        <v>16</v>
      </c>
      <c r="B46" s="253"/>
      <c r="C46" s="254"/>
      <c r="D46" s="254"/>
      <c r="E46" s="254"/>
      <c r="F46" s="254"/>
      <c r="G46" s="254"/>
      <c r="H46" s="254"/>
      <c r="I46" s="509"/>
      <c r="J46" s="1"/>
      <c r="K46" s="18"/>
    </row>
    <row r="47" spans="1:11" ht="4.5" customHeight="1">
      <c r="A47" s="263"/>
      <c r="B47" s="263"/>
      <c r="C47" s="263"/>
      <c r="D47" s="263"/>
      <c r="J47" s="1"/>
      <c r="K47" s="18"/>
    </row>
    <row r="48" spans="1:11" ht="12.75" customHeight="1">
      <c r="A48" s="264" t="s">
        <v>11</v>
      </c>
      <c r="B48" s="264"/>
      <c r="C48" s="1"/>
      <c r="G48" s="307">
        <f>J29</f>
        <v>666000</v>
      </c>
      <c r="J48" s="1"/>
      <c r="K48" s="18"/>
    </row>
    <row r="49" spans="1:11" ht="7.5" customHeight="1">
      <c r="A49" s="30"/>
      <c r="B49" s="30"/>
      <c r="C49" s="30"/>
      <c r="D49" s="30"/>
      <c r="E49" s="26"/>
      <c r="F49" s="26"/>
      <c r="G49" s="260"/>
      <c r="J49" s="510"/>
      <c r="K49" s="18"/>
    </row>
    <row r="50" spans="1:11" ht="12.75" customHeight="1">
      <c r="A50" s="30" t="s">
        <v>63</v>
      </c>
      <c r="B50" s="30"/>
      <c r="C50" s="30"/>
      <c r="D50" s="30"/>
      <c r="E50" s="26"/>
      <c r="F50" s="26"/>
      <c r="G50" s="154">
        <f>((0.9672-(125060/((G48/90)+32000))+96.72*(G48/90)^(-(0.25))))*G48/90</f>
        <v>60837</v>
      </c>
      <c r="J50" s="510"/>
      <c r="K50" s="18"/>
    </row>
    <row r="51" spans="1:11" ht="7.5" customHeight="1">
      <c r="A51" s="30"/>
      <c r="B51" s="30"/>
      <c r="C51" s="30"/>
      <c r="D51" s="30"/>
      <c r="E51" s="26"/>
      <c r="F51" s="26"/>
      <c r="G51" s="260"/>
      <c r="J51" s="510"/>
      <c r="K51" s="18"/>
    </row>
    <row r="52" spans="1:11" ht="12.75" customHeight="1">
      <c r="A52" s="30" t="s">
        <v>64</v>
      </c>
      <c r="B52" s="30"/>
      <c r="C52" s="30"/>
      <c r="D52" s="1"/>
      <c r="E52" s="1"/>
      <c r="F52" s="1"/>
      <c r="G52" s="147">
        <f>0.044*G44+0.66</f>
        <v>1.32</v>
      </c>
      <c r="H52" s="180"/>
      <c r="J52" s="510"/>
      <c r="K52" s="18"/>
    </row>
    <row r="53" spans="1:11" ht="4.5" customHeight="1">
      <c r="A53" s="30"/>
      <c r="B53" s="30"/>
      <c r="C53" s="30"/>
      <c r="D53" s="1"/>
      <c r="E53" s="1"/>
      <c r="F53" s="1"/>
      <c r="G53" s="42"/>
      <c r="H53" s="180"/>
      <c r="J53" s="510"/>
      <c r="K53" s="18"/>
    </row>
    <row r="54" spans="1:11" ht="12.75" customHeight="1">
      <c r="A54" s="30" t="s">
        <v>66</v>
      </c>
      <c r="B54" s="30"/>
      <c r="C54" s="30"/>
      <c r="D54" s="1"/>
      <c r="E54" s="1"/>
      <c r="F54" s="1"/>
      <c r="G54" s="369">
        <f>ROUND(G50/G48*100*G52/100,6)</f>
        <v>0.120578</v>
      </c>
      <c r="H54" s="324" t="s">
        <v>138</v>
      </c>
      <c r="J54" s="510"/>
      <c r="K54" s="18"/>
    </row>
    <row r="55" spans="1:11" ht="12.75" customHeight="1">
      <c r="A55" s="30" t="s">
        <v>293</v>
      </c>
      <c r="B55" s="30"/>
      <c r="C55" s="30"/>
      <c r="D55" s="1"/>
      <c r="E55" s="1"/>
      <c r="F55" s="1"/>
      <c r="G55" s="522">
        <v>0.1</v>
      </c>
      <c r="H55" s="324"/>
      <c r="J55" s="510"/>
      <c r="K55" s="18"/>
    </row>
    <row r="56" spans="1:11" ht="7.5" customHeight="1">
      <c r="A56" s="30"/>
      <c r="B56" s="30"/>
      <c r="C56" s="30"/>
      <c r="D56" s="1"/>
      <c r="E56" s="1"/>
      <c r="F56" s="1"/>
      <c r="G56" s="265"/>
      <c r="H56" s="265"/>
      <c r="J56" s="510"/>
      <c r="K56" s="18"/>
    </row>
    <row r="57" spans="1:11" ht="15" customHeight="1">
      <c r="A57" s="31" t="s">
        <v>294</v>
      </c>
      <c r="B57" s="28"/>
      <c r="C57" s="28"/>
      <c r="D57" s="266"/>
      <c r="E57" s="267"/>
      <c r="F57" s="267"/>
      <c r="G57" s="268"/>
      <c r="H57" s="523">
        <f>ROUND(G48*G54*(1+G55),2)</f>
        <v>88335</v>
      </c>
      <c r="I57" s="71"/>
      <c r="J57" s="1"/>
      <c r="K57" s="18"/>
    </row>
    <row r="58" spans="1:11" ht="12.75" customHeight="1">
      <c r="A58" s="43"/>
      <c r="B58" s="44"/>
      <c r="C58" s="44"/>
      <c r="D58" s="269"/>
      <c r="E58" s="269"/>
      <c r="F58" s="269"/>
      <c r="G58" s="270"/>
      <c r="H58" s="270"/>
      <c r="I58" s="63"/>
      <c r="J58" s="45"/>
      <c r="K58" s="18"/>
    </row>
    <row r="59" spans="1:11" ht="12.75" customHeight="1">
      <c r="A59" s="43"/>
      <c r="B59" s="44"/>
      <c r="C59" s="44"/>
      <c r="D59" s="269"/>
      <c r="E59" s="559" t="s">
        <v>329</v>
      </c>
      <c r="F59" s="269"/>
      <c r="G59" s="558" t="s">
        <v>5</v>
      </c>
      <c r="H59" s="270"/>
      <c r="I59" s="63"/>
      <c r="J59" s="45"/>
      <c r="K59" s="18"/>
    </row>
    <row r="60" spans="1:10" ht="12.75" customHeight="1">
      <c r="A60" s="271" t="s">
        <v>128</v>
      </c>
      <c r="B60" s="271"/>
      <c r="C60" s="272"/>
      <c r="D60" s="1"/>
      <c r="E60" s="554">
        <v>0.02</v>
      </c>
      <c r="F60" s="274"/>
      <c r="G60" s="343">
        <v>0.02</v>
      </c>
      <c r="H60" s="285">
        <f>$H$57*G60</f>
        <v>1767</v>
      </c>
      <c r="I60" s="59"/>
      <c r="J60" s="238"/>
    </row>
    <row r="61" spans="1:10" ht="12.75" customHeight="1">
      <c r="A61" s="271" t="s">
        <v>36</v>
      </c>
      <c r="B61" s="271"/>
      <c r="C61" s="272"/>
      <c r="D61" s="1"/>
      <c r="E61" s="554">
        <v>0.1</v>
      </c>
      <c r="F61" s="274"/>
      <c r="G61" s="344">
        <v>0.1</v>
      </c>
      <c r="H61" s="285">
        <f aca="true" t="shared" si="0" ref="H61:H69">$H$57*G61</f>
        <v>8834</v>
      </c>
      <c r="I61" s="59"/>
      <c r="J61" s="238"/>
    </row>
    <row r="62" spans="1:10" ht="12.75" customHeight="1">
      <c r="A62" s="271" t="s">
        <v>37</v>
      </c>
      <c r="B62" s="271"/>
      <c r="C62" s="272"/>
      <c r="D62" s="1"/>
      <c r="E62" s="554">
        <v>0.12</v>
      </c>
      <c r="F62" s="274"/>
      <c r="G62" s="344">
        <v>0.12</v>
      </c>
      <c r="H62" s="285">
        <f t="shared" si="0"/>
        <v>10600</v>
      </c>
      <c r="I62" s="59"/>
      <c r="J62" s="238"/>
    </row>
    <row r="63" spans="1:10" ht="12.75" customHeight="1">
      <c r="A63" s="271" t="s">
        <v>38</v>
      </c>
      <c r="B63" s="271"/>
      <c r="C63" s="272"/>
      <c r="D63" s="1"/>
      <c r="E63" s="554">
        <v>0.04</v>
      </c>
      <c r="F63" s="274"/>
      <c r="G63" s="344">
        <v>0.04</v>
      </c>
      <c r="H63" s="285">
        <f t="shared" si="0"/>
        <v>3533</v>
      </c>
      <c r="I63" s="59"/>
      <c r="J63" s="238"/>
    </row>
    <row r="64" spans="1:10" ht="12.75" customHeight="1">
      <c r="A64" s="271" t="s">
        <v>39</v>
      </c>
      <c r="B64" s="271"/>
      <c r="C64" s="272"/>
      <c r="D64" s="1"/>
      <c r="E64" s="554">
        <v>0.2</v>
      </c>
      <c r="F64" s="274"/>
      <c r="G64" s="344">
        <v>0.2</v>
      </c>
      <c r="H64" s="285">
        <f t="shared" si="0"/>
        <v>17667</v>
      </c>
      <c r="I64" s="59"/>
      <c r="J64" s="238"/>
    </row>
    <row r="65" spans="1:10" ht="12.75" customHeight="1">
      <c r="A65" s="271" t="s">
        <v>40</v>
      </c>
      <c r="B65" s="271"/>
      <c r="C65" s="272"/>
      <c r="D65" s="1"/>
      <c r="E65" s="554">
        <v>0.07</v>
      </c>
      <c r="F65" s="274"/>
      <c r="G65" s="344">
        <v>0.07</v>
      </c>
      <c r="H65" s="285">
        <f t="shared" si="0"/>
        <v>6183</v>
      </c>
      <c r="I65" s="59"/>
      <c r="J65" s="238"/>
    </row>
    <row r="66" spans="1:10" ht="12.75" customHeight="1">
      <c r="A66" s="271" t="s">
        <v>41</v>
      </c>
      <c r="B66" s="271"/>
      <c r="C66" s="272"/>
      <c r="D66" s="1"/>
      <c r="E66" s="554">
        <v>0.03</v>
      </c>
      <c r="F66" s="274"/>
      <c r="G66" s="344">
        <v>0.03</v>
      </c>
      <c r="H66" s="285">
        <f t="shared" si="0"/>
        <v>2650</v>
      </c>
      <c r="I66" s="59"/>
      <c r="J66" s="238"/>
    </row>
    <row r="67" spans="1:10" ht="12.75" customHeight="1">
      <c r="A67" s="271" t="s">
        <v>55</v>
      </c>
      <c r="B67" s="271"/>
      <c r="C67" s="272"/>
      <c r="D67" s="1"/>
      <c r="E67" s="554">
        <v>0.07</v>
      </c>
      <c r="F67" s="274"/>
      <c r="G67" s="344">
        <v>0.07</v>
      </c>
      <c r="H67" s="285">
        <f t="shared" si="0"/>
        <v>6183</v>
      </c>
      <c r="I67" s="59"/>
      <c r="J67" s="238"/>
    </row>
    <row r="68" spans="1:10" ht="12.75" customHeight="1">
      <c r="A68" s="251" t="s">
        <v>43</v>
      </c>
      <c r="B68" s="251"/>
      <c r="C68" s="272"/>
      <c r="D68" s="1"/>
      <c r="E68" s="554">
        <v>0.33</v>
      </c>
      <c r="F68" s="274"/>
      <c r="G68" s="344">
        <v>0.33</v>
      </c>
      <c r="H68" s="285">
        <f t="shared" si="0"/>
        <v>29151</v>
      </c>
      <c r="I68" s="59"/>
      <c r="J68" s="238"/>
    </row>
    <row r="69" spans="1:10" ht="12.75" customHeight="1">
      <c r="A69" s="276" t="s">
        <v>56</v>
      </c>
      <c r="B69" s="276"/>
      <c r="C69" s="277"/>
      <c r="D69" s="57"/>
      <c r="E69" s="556">
        <v>0.02</v>
      </c>
      <c r="F69" s="279"/>
      <c r="G69" s="345">
        <v>0.02</v>
      </c>
      <c r="H69" s="286">
        <f t="shared" si="0"/>
        <v>1767</v>
      </c>
      <c r="I69" s="63"/>
      <c r="J69" s="238"/>
    </row>
    <row r="70" spans="1:10" ht="12.75" customHeight="1">
      <c r="A70" s="280" t="s">
        <v>45</v>
      </c>
      <c r="B70" s="251"/>
      <c r="C70" s="30"/>
      <c r="D70" s="1"/>
      <c r="E70" s="281"/>
      <c r="F70" s="281"/>
      <c r="G70" s="346">
        <f>SUM(G60:G69)</f>
        <v>1</v>
      </c>
      <c r="H70" s="287">
        <f>SUM(H60:H69)</f>
        <v>88335</v>
      </c>
      <c r="J70" s="146">
        <f>H70</f>
        <v>88335</v>
      </c>
    </row>
    <row r="71" ht="12.75" customHeight="1">
      <c r="J71" s="238"/>
    </row>
    <row r="72" spans="1:14" ht="12.75" customHeight="1">
      <c r="A72" s="54" t="s">
        <v>171</v>
      </c>
      <c r="G72" s="355">
        <v>0</v>
      </c>
      <c r="H72" s="356">
        <v>0</v>
      </c>
      <c r="J72" s="146">
        <f>G72*H72</f>
        <v>0</v>
      </c>
      <c r="L72" s="49"/>
      <c r="M72" s="49"/>
      <c r="N72" s="49"/>
    </row>
    <row r="73" ht="12.75" customHeight="1">
      <c r="J73" s="238"/>
    </row>
    <row r="74" spans="1:11" s="35" customFormat="1" ht="12.75">
      <c r="A74" s="141" t="s">
        <v>156</v>
      </c>
      <c r="B74" s="142"/>
      <c r="C74" s="143"/>
      <c r="D74" s="143"/>
      <c r="E74" s="144"/>
      <c r="F74" s="145"/>
      <c r="G74" s="144"/>
      <c r="H74" s="144"/>
      <c r="I74" s="144"/>
      <c r="J74" s="146">
        <f>J70+J72</f>
        <v>88335</v>
      </c>
      <c r="K74" s="39"/>
    </row>
    <row r="75" spans="2:11" s="35" customFormat="1" ht="4.5" customHeight="1">
      <c r="B75" s="36"/>
      <c r="C75" s="37"/>
      <c r="D75" s="37"/>
      <c r="E75" s="72"/>
      <c r="F75" s="73"/>
      <c r="G75" s="74"/>
      <c r="H75" s="102"/>
      <c r="J75" s="135"/>
      <c r="K75" s="39"/>
    </row>
    <row r="76" spans="1:11" s="35" customFormat="1" ht="12.75">
      <c r="A76" s="75" t="s">
        <v>13</v>
      </c>
      <c r="B76" s="36"/>
      <c r="C76" s="37"/>
      <c r="D76" s="37"/>
      <c r="E76" s="83"/>
      <c r="F76" s="83"/>
      <c r="G76" s="338">
        <v>0.04</v>
      </c>
      <c r="H76" s="103"/>
      <c r="I76" s="40"/>
      <c r="J76" s="136">
        <f>ROUND(J74*G76,2)</f>
        <v>3533</v>
      </c>
      <c r="K76" s="39"/>
    </row>
    <row r="77" spans="1:11" s="35" customFormat="1" ht="3" customHeight="1">
      <c r="A77" s="76"/>
      <c r="B77" s="77"/>
      <c r="C77" s="78"/>
      <c r="D77" s="78"/>
      <c r="E77" s="85"/>
      <c r="F77" s="85"/>
      <c r="G77" s="339"/>
      <c r="H77" s="104"/>
      <c r="I77" s="76"/>
      <c r="J77" s="137"/>
      <c r="K77" s="39"/>
    </row>
    <row r="78" spans="2:11" s="35" customFormat="1" ht="3" customHeight="1">
      <c r="B78" s="36"/>
      <c r="C78" s="37"/>
      <c r="D78" s="37"/>
      <c r="E78" s="79"/>
      <c r="F78" s="79"/>
      <c r="G78" s="341"/>
      <c r="H78" s="102"/>
      <c r="J78" s="135"/>
      <c r="K78" s="39"/>
    </row>
    <row r="79" spans="1:11" s="35" customFormat="1" ht="12.75">
      <c r="A79" s="80" t="s">
        <v>157</v>
      </c>
      <c r="B79" s="81"/>
      <c r="C79" s="82"/>
      <c r="D79" s="82"/>
      <c r="E79" s="38"/>
      <c r="F79" s="38"/>
      <c r="G79" s="337"/>
      <c r="H79" s="103"/>
      <c r="I79" s="40"/>
      <c r="J79" s="138">
        <f>J74+J76</f>
        <v>91868</v>
      </c>
      <c r="K79" s="39"/>
    </row>
    <row r="80" spans="1:11" s="35" customFormat="1" ht="12.75">
      <c r="A80" s="35" t="s">
        <v>14</v>
      </c>
      <c r="B80" s="36"/>
      <c r="D80" s="37"/>
      <c r="E80" s="79"/>
      <c r="F80" s="79"/>
      <c r="G80" s="41">
        <v>0.2</v>
      </c>
      <c r="H80" s="41"/>
      <c r="J80" s="139">
        <f>ROUND(J79*G80,2)</f>
        <v>18374</v>
      </c>
      <c r="K80" s="39"/>
    </row>
    <row r="81" spans="1:11" s="35" customFormat="1" ht="3" customHeight="1">
      <c r="A81" s="40"/>
      <c r="B81" s="308"/>
      <c r="C81" s="87"/>
      <c r="D81" s="87"/>
      <c r="E81" s="79"/>
      <c r="F81" s="79"/>
      <c r="G81" s="74"/>
      <c r="H81" s="102"/>
      <c r="J81" s="140"/>
      <c r="K81" s="39"/>
    </row>
    <row r="82" spans="1:11" s="40" customFormat="1" ht="12.75">
      <c r="A82" s="296" t="s">
        <v>158</v>
      </c>
      <c r="B82" s="309"/>
      <c r="C82" s="297"/>
      <c r="D82" s="297"/>
      <c r="E82" s="298"/>
      <c r="F82" s="299"/>
      <c r="G82" s="300"/>
      <c r="H82" s="300"/>
      <c r="I82" s="298"/>
      <c r="J82" s="301">
        <f>SUM(J79:J80)</f>
        <v>110242</v>
      </c>
      <c r="K82" s="39"/>
    </row>
    <row r="83" ht="4.5" customHeight="1"/>
    <row r="84" spans="1:7" ht="12.75">
      <c r="A84" s="311" t="s">
        <v>136</v>
      </c>
      <c r="G84" s="520">
        <f>J79/G25</f>
        <v>0.003083</v>
      </c>
    </row>
  </sheetData>
  <sheetProtection password="D2DC" sheet="1"/>
  <mergeCells count="11">
    <mergeCell ref="A15:B15"/>
    <mergeCell ref="A17:B17"/>
    <mergeCell ref="A19:B19"/>
    <mergeCell ref="A21:B21"/>
    <mergeCell ref="A23:B23"/>
    <mergeCell ref="A27:B27"/>
    <mergeCell ref="I2:J2"/>
    <mergeCell ref="A7:B7"/>
    <mergeCell ref="A9:B9"/>
    <mergeCell ref="A11:B11"/>
    <mergeCell ref="A13:B13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2:N90"/>
  <sheetViews>
    <sheetView showGridLines="0" zoomScale="85" zoomScaleNormal="85" zoomScaleSheetLayoutView="85" zoomScalePageLayoutView="70" workbookViewId="0" topLeftCell="A19">
      <selection activeCell="K66" sqref="K66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107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1</v>
      </c>
      <c r="J9" s="227">
        <f>G9*I9</f>
        <v>9000000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0.05</v>
      </c>
      <c r="J12" s="229">
        <f aca="true" t="shared" si="0" ref="J12:J19">G12*I12</f>
        <v>45000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0.05</v>
      </c>
      <c r="J13" s="325">
        <f t="shared" si="0"/>
        <v>60000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0.08</v>
      </c>
      <c r="J14" s="325">
        <f t="shared" si="0"/>
        <v>80000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0.05</v>
      </c>
      <c r="J15" s="325">
        <f t="shared" si="0"/>
        <v>75000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0</v>
      </c>
      <c r="J16" s="325">
        <f t="shared" si="0"/>
        <v>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0.15</v>
      </c>
      <c r="J17" s="325">
        <f t="shared" si="0"/>
        <v>22500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0</v>
      </c>
      <c r="J19" s="326">
        <f t="shared" si="0"/>
        <v>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0.05</v>
      </c>
      <c r="J21" s="227">
        <f>G21*I21</f>
        <v>300000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7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SUM(J7:J35)</f>
        <v>9892500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69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70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0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357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62">
        <f>SUM(G45:G50)</f>
        <v>27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9892500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71</v>
      </c>
      <c r="B58" s="30"/>
      <c r="C58" s="30"/>
      <c r="D58" s="1"/>
      <c r="E58" s="1"/>
      <c r="F58" s="1"/>
      <c r="G58" s="147">
        <f>0.0425*G52+0.83</f>
        <v>1.98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72</v>
      </c>
      <c r="B60" s="30"/>
      <c r="C60" s="30"/>
      <c r="D60" s="1"/>
      <c r="E60" s="1"/>
      <c r="F60" s="1"/>
      <c r="G60" s="359">
        <f>ROUND(37.056*G56^(-0.1495)*G58/100,6)</f>
        <v>0.066028</v>
      </c>
      <c r="H60" s="324"/>
      <c r="J60" s="510"/>
      <c r="K60" s="18"/>
    </row>
    <row r="61" spans="1:11" ht="12.75" customHeight="1">
      <c r="A61" s="30" t="s">
        <v>295</v>
      </c>
      <c r="B61" s="30"/>
      <c r="C61" s="30"/>
      <c r="D61" s="1"/>
      <c r="E61" s="1"/>
      <c r="F61" s="1"/>
      <c r="G61" s="522">
        <v>0.1</v>
      </c>
      <c r="H61" s="324"/>
      <c r="J61" s="510"/>
      <c r="K61" s="18"/>
    </row>
    <row r="62" spans="1:11" ht="7.5" customHeight="1">
      <c r="A62" s="30"/>
      <c r="B62" s="30"/>
      <c r="C62" s="30"/>
      <c r="D62" s="1"/>
      <c r="E62" s="1"/>
      <c r="F62" s="1"/>
      <c r="G62" s="265"/>
      <c r="H62" s="181"/>
      <c r="J62" s="510"/>
      <c r="K62" s="18"/>
    </row>
    <row r="63" spans="1:11" ht="15" customHeight="1">
      <c r="A63" s="31" t="s">
        <v>296</v>
      </c>
      <c r="B63" s="28"/>
      <c r="C63" s="28"/>
      <c r="D63" s="266"/>
      <c r="E63" s="267"/>
      <c r="F63" s="267"/>
      <c r="G63" s="268"/>
      <c r="H63" s="523">
        <f>ROUND(G56*G60*(1+G61),2)</f>
        <v>718500</v>
      </c>
      <c r="I63" s="71"/>
      <c r="J63" s="1"/>
      <c r="K63" s="18"/>
    </row>
    <row r="64" spans="1:11" ht="12.75" customHeight="1">
      <c r="A64" s="43"/>
      <c r="B64" s="44"/>
      <c r="C64" s="44"/>
      <c r="D64" s="269"/>
      <c r="E64" s="269"/>
      <c r="F64" s="269"/>
      <c r="G64" s="270"/>
      <c r="H64" s="270"/>
      <c r="I64" s="63"/>
      <c r="J64" s="45"/>
      <c r="K64" s="18"/>
    </row>
    <row r="65" spans="1:11" ht="12.75" customHeight="1">
      <c r="A65" s="43"/>
      <c r="B65" s="44"/>
      <c r="C65" s="44"/>
      <c r="D65" s="269"/>
      <c r="E65" s="559" t="s">
        <v>329</v>
      </c>
      <c r="F65" s="269"/>
      <c r="G65" s="558" t="s">
        <v>5</v>
      </c>
      <c r="H65" s="270"/>
      <c r="I65" s="63"/>
      <c r="J65" s="45"/>
      <c r="K65" s="18"/>
    </row>
    <row r="66" spans="1:10" ht="12.75" customHeight="1">
      <c r="A66" s="271" t="s">
        <v>128</v>
      </c>
      <c r="B66" s="271"/>
      <c r="C66" s="272"/>
      <c r="D66" s="1"/>
      <c r="E66" s="554">
        <v>0.02</v>
      </c>
      <c r="F66" s="274"/>
      <c r="G66" s="343">
        <v>0.02</v>
      </c>
      <c r="H66" s="285">
        <f>$H$63*G66</f>
        <v>14370</v>
      </c>
      <c r="I66" s="59"/>
      <c r="J66" s="238"/>
    </row>
    <row r="67" spans="1:10" ht="12.75" customHeight="1">
      <c r="A67" s="271" t="s">
        <v>36</v>
      </c>
      <c r="B67" s="271"/>
      <c r="C67" s="272"/>
      <c r="D67" s="1"/>
      <c r="E67" s="554">
        <v>0.1</v>
      </c>
      <c r="F67" s="274"/>
      <c r="G67" s="344">
        <v>0.1</v>
      </c>
      <c r="H67" s="285">
        <f aca="true" t="shared" si="1" ref="H67:H75">$H$63*G67</f>
        <v>71850</v>
      </c>
      <c r="I67" s="59"/>
      <c r="J67" s="238"/>
    </row>
    <row r="68" spans="1:10" ht="12.75" customHeight="1">
      <c r="A68" s="271" t="s">
        <v>37</v>
      </c>
      <c r="B68" s="271"/>
      <c r="C68" s="272"/>
      <c r="D68" s="1"/>
      <c r="E68" s="554">
        <v>0.15</v>
      </c>
      <c r="F68" s="274"/>
      <c r="G68" s="344">
        <v>0.15</v>
      </c>
      <c r="H68" s="285">
        <f t="shared" si="1"/>
        <v>107775</v>
      </c>
      <c r="I68" s="59"/>
      <c r="J68" s="238"/>
    </row>
    <row r="69" spans="1:10" ht="12.75" customHeight="1">
      <c r="A69" s="271" t="s">
        <v>38</v>
      </c>
      <c r="B69" s="271"/>
      <c r="C69" s="272"/>
      <c r="D69" s="1"/>
      <c r="E69" s="554">
        <v>0.25</v>
      </c>
      <c r="F69" s="274"/>
      <c r="G69" s="344">
        <v>0.25</v>
      </c>
      <c r="H69" s="285">
        <f t="shared" si="1"/>
        <v>179625</v>
      </c>
      <c r="I69" s="59"/>
      <c r="J69" s="238"/>
    </row>
    <row r="70" spans="1:10" ht="12.75" customHeight="1">
      <c r="A70" s="271" t="s">
        <v>129</v>
      </c>
      <c r="B70" s="271"/>
      <c r="C70" s="272"/>
      <c r="D70" s="1"/>
      <c r="E70" s="554">
        <v>0.32</v>
      </c>
      <c r="F70" s="274"/>
      <c r="G70" s="344">
        <v>0.32</v>
      </c>
      <c r="H70" s="285">
        <f t="shared" si="1"/>
        <v>229920</v>
      </c>
      <c r="I70" s="59"/>
      <c r="J70" s="238"/>
    </row>
    <row r="71" spans="1:10" ht="12.75" customHeight="1">
      <c r="A71" s="271" t="s">
        <v>130</v>
      </c>
      <c r="B71" s="271"/>
      <c r="C71" s="272"/>
      <c r="D71" s="1"/>
      <c r="E71" s="554">
        <v>0.02</v>
      </c>
      <c r="F71" s="274"/>
      <c r="G71" s="344">
        <v>0.02</v>
      </c>
      <c r="H71" s="285">
        <f t="shared" si="1"/>
        <v>14370</v>
      </c>
      <c r="I71" s="59"/>
      <c r="J71" s="238"/>
    </row>
    <row r="72" spans="1:10" ht="12.75" customHeight="1">
      <c r="A72" s="271" t="s">
        <v>41</v>
      </c>
      <c r="B72" s="271"/>
      <c r="C72" s="272"/>
      <c r="D72" s="1"/>
      <c r="E72" s="554">
        <v>0</v>
      </c>
      <c r="F72" s="274"/>
      <c r="G72" s="344">
        <v>0</v>
      </c>
      <c r="H72" s="285">
        <f t="shared" si="1"/>
        <v>0</v>
      </c>
      <c r="I72" s="59"/>
      <c r="J72" s="238"/>
    </row>
    <row r="73" spans="1:10" ht="12.75" customHeight="1">
      <c r="A73" s="271" t="s">
        <v>133</v>
      </c>
      <c r="B73" s="271"/>
      <c r="C73" s="272"/>
      <c r="D73" s="1"/>
      <c r="E73" s="554">
        <v>0.05</v>
      </c>
      <c r="F73" s="274"/>
      <c r="G73" s="344">
        <v>0.05</v>
      </c>
      <c r="H73" s="285">
        <f t="shared" si="1"/>
        <v>35925</v>
      </c>
      <c r="I73" s="59"/>
      <c r="J73" s="238"/>
    </row>
    <row r="74" spans="1:10" ht="12.75" customHeight="1">
      <c r="A74" s="251" t="s">
        <v>131</v>
      </c>
      <c r="B74" s="251"/>
      <c r="C74" s="272"/>
      <c r="D74" s="1"/>
      <c r="E74" s="554">
        <v>0.09</v>
      </c>
      <c r="F74" s="274"/>
      <c r="G74" s="344">
        <v>0.09</v>
      </c>
      <c r="H74" s="285">
        <f t="shared" si="1"/>
        <v>64665</v>
      </c>
      <c r="I74" s="59"/>
      <c r="J74" s="238"/>
    </row>
    <row r="75" spans="1:10" ht="12.75" customHeight="1">
      <c r="A75" s="276" t="s">
        <v>132</v>
      </c>
      <c r="B75" s="276"/>
      <c r="C75" s="277"/>
      <c r="D75" s="57"/>
      <c r="E75" s="556">
        <v>0</v>
      </c>
      <c r="F75" s="279"/>
      <c r="G75" s="345">
        <v>0</v>
      </c>
      <c r="H75" s="286">
        <f t="shared" si="1"/>
        <v>0</v>
      </c>
      <c r="I75" s="63"/>
      <c r="J75" s="238"/>
    </row>
    <row r="76" spans="1:10" ht="12.75" customHeight="1">
      <c r="A76" s="280" t="s">
        <v>45</v>
      </c>
      <c r="B76" s="251"/>
      <c r="C76" s="30"/>
      <c r="D76" s="1"/>
      <c r="E76" s="281"/>
      <c r="F76" s="281"/>
      <c r="G76" s="346">
        <f>SUM(G66:G75)</f>
        <v>1</v>
      </c>
      <c r="H76" s="287">
        <f>SUM(H66:H75)</f>
        <v>718500</v>
      </c>
      <c r="J76" s="146">
        <f>H76</f>
        <v>718500</v>
      </c>
    </row>
    <row r="77" spans="7:10" ht="12.75" customHeight="1">
      <c r="G77" s="163"/>
      <c r="J77" s="238"/>
    </row>
    <row r="78" spans="1:14" ht="12.75" customHeight="1">
      <c r="A78" s="54" t="s">
        <v>171</v>
      </c>
      <c r="G78" s="355">
        <v>0</v>
      </c>
      <c r="H78" s="356">
        <v>0</v>
      </c>
      <c r="J78" s="146">
        <f>G78*H78</f>
        <v>0</v>
      </c>
      <c r="L78" s="49"/>
      <c r="M78" s="49"/>
      <c r="N78" s="49"/>
    </row>
    <row r="79" spans="7:10" ht="12.75" customHeight="1">
      <c r="G79" s="163"/>
      <c r="J79" s="238"/>
    </row>
    <row r="80" spans="1:11" s="35" customFormat="1" ht="12.75">
      <c r="A80" s="141" t="s">
        <v>159</v>
      </c>
      <c r="B80" s="142"/>
      <c r="C80" s="143"/>
      <c r="D80" s="143"/>
      <c r="E80" s="144"/>
      <c r="F80" s="145"/>
      <c r="G80" s="164"/>
      <c r="H80" s="144"/>
      <c r="I80" s="144"/>
      <c r="J80" s="146">
        <f>J76+J78</f>
        <v>718500</v>
      </c>
      <c r="K80" s="39"/>
    </row>
    <row r="81" spans="2:11" s="35" customFormat="1" ht="4.5" customHeight="1">
      <c r="B81" s="36"/>
      <c r="C81" s="37"/>
      <c r="D81" s="37"/>
      <c r="E81" s="72"/>
      <c r="F81" s="73"/>
      <c r="G81" s="74"/>
      <c r="H81" s="102"/>
      <c r="J81" s="135"/>
      <c r="K81" s="39"/>
    </row>
    <row r="82" spans="1:11" s="35" customFormat="1" ht="12.75">
      <c r="A82" s="75" t="s">
        <v>13</v>
      </c>
      <c r="B82" s="36"/>
      <c r="C82" s="37"/>
      <c r="D82" s="37"/>
      <c r="E82" s="83"/>
      <c r="F82" s="83"/>
      <c r="G82" s="338">
        <v>0.04</v>
      </c>
      <c r="H82" s="103"/>
      <c r="I82" s="40"/>
      <c r="J82" s="136">
        <f>ROUND(J80*G82,2)</f>
        <v>28740</v>
      </c>
      <c r="K82" s="39"/>
    </row>
    <row r="83" spans="1:11" s="35" customFormat="1" ht="3" customHeight="1">
      <c r="A83" s="76"/>
      <c r="B83" s="77"/>
      <c r="C83" s="78"/>
      <c r="D83" s="78"/>
      <c r="E83" s="85"/>
      <c r="F83" s="85"/>
      <c r="G83" s="339"/>
      <c r="H83" s="104"/>
      <c r="I83" s="76"/>
      <c r="J83" s="137"/>
      <c r="K83" s="39"/>
    </row>
    <row r="84" spans="2:11" s="35" customFormat="1" ht="3" customHeight="1">
      <c r="B84" s="36"/>
      <c r="C84" s="37"/>
      <c r="D84" s="37"/>
      <c r="E84" s="88"/>
      <c r="F84" s="88"/>
      <c r="G84" s="340"/>
      <c r="H84" s="105"/>
      <c r="I84" s="89"/>
      <c r="J84" s="135"/>
      <c r="K84" s="39"/>
    </row>
    <row r="85" spans="1:11" s="35" customFormat="1" ht="12.75">
      <c r="A85" s="80" t="s">
        <v>160</v>
      </c>
      <c r="B85" s="81"/>
      <c r="C85" s="82"/>
      <c r="D85" s="82"/>
      <c r="E85" s="38"/>
      <c r="F85" s="38"/>
      <c r="G85" s="337"/>
      <c r="H85" s="103"/>
      <c r="I85" s="40"/>
      <c r="J85" s="138">
        <f>J80+J82</f>
        <v>747240</v>
      </c>
      <c r="K85" s="39"/>
    </row>
    <row r="86" spans="1:11" s="35" customFormat="1" ht="12.75">
      <c r="A86" s="35" t="s">
        <v>14</v>
      </c>
      <c r="B86" s="36"/>
      <c r="D86" s="37"/>
      <c r="E86" s="79"/>
      <c r="F86" s="79"/>
      <c r="G86" s="41">
        <v>0.2</v>
      </c>
      <c r="H86" s="41"/>
      <c r="J86" s="139">
        <f>ROUND(J85*G86,2)</f>
        <v>149448</v>
      </c>
      <c r="K86" s="39"/>
    </row>
    <row r="87" spans="1:11" s="35" customFormat="1" ht="3" customHeight="1">
      <c r="A87" s="40"/>
      <c r="B87" s="308"/>
      <c r="C87" s="87"/>
      <c r="D87" s="87"/>
      <c r="E87" s="79"/>
      <c r="F87" s="79"/>
      <c r="G87" s="74"/>
      <c r="H87" s="102"/>
      <c r="J87" s="140"/>
      <c r="K87" s="39"/>
    </row>
    <row r="88" spans="1:11" s="40" customFormat="1" ht="12.75">
      <c r="A88" s="296" t="s">
        <v>161</v>
      </c>
      <c r="B88" s="309"/>
      <c r="C88" s="297"/>
      <c r="D88" s="297"/>
      <c r="E88" s="298"/>
      <c r="F88" s="299"/>
      <c r="G88" s="300"/>
      <c r="H88" s="300"/>
      <c r="I88" s="298"/>
      <c r="J88" s="301">
        <f>SUM(J84:J86)</f>
        <v>896688</v>
      </c>
      <c r="K88" s="39"/>
    </row>
    <row r="89" ht="4.5" customHeight="1"/>
    <row r="90" spans="1:7" ht="12.75">
      <c r="A90" s="311" t="s">
        <v>136</v>
      </c>
      <c r="G90" s="520">
        <f>J85/G33</f>
        <v>0.025075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N90"/>
  <sheetViews>
    <sheetView showGridLines="0" zoomScale="85" zoomScaleNormal="85" zoomScaleSheetLayoutView="85" zoomScalePageLayoutView="70" workbookViewId="0" topLeftCell="A22">
      <selection activeCell="G65" sqref="G6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108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1</v>
      </c>
      <c r="J9" s="227">
        <f>G9*I9</f>
        <v>9000000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1</v>
      </c>
      <c r="J12" s="229">
        <f aca="true" t="shared" si="0" ref="J12:J19">G12*I12</f>
        <v>900000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1</v>
      </c>
      <c r="J13" s="325">
        <f t="shared" si="0"/>
        <v>1200000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1</v>
      </c>
      <c r="J14" s="325">
        <f t="shared" si="0"/>
        <v>1000000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1</v>
      </c>
      <c r="J15" s="325">
        <f t="shared" si="0"/>
        <v>1500000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1</v>
      </c>
      <c r="J16" s="325">
        <f t="shared" si="0"/>
        <v>600000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1</v>
      </c>
      <c r="J17" s="325">
        <f t="shared" si="0"/>
        <v>150000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1</v>
      </c>
      <c r="J19" s="326">
        <f t="shared" si="0"/>
        <v>300000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1</v>
      </c>
      <c r="J21" s="227">
        <f>G21*I21</f>
        <v>6000000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SUM(J7:J35)</f>
        <v>20960000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73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0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62">
        <f>SUM(G45:G50)</f>
        <v>27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20960000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74</v>
      </c>
      <c r="B58" s="30"/>
      <c r="C58" s="30"/>
      <c r="D58" s="1"/>
      <c r="E58" s="1"/>
      <c r="F58" s="1"/>
      <c r="G58" s="147">
        <f>0.021*G52+0.761</f>
        <v>1.33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77</v>
      </c>
      <c r="B60" s="30"/>
      <c r="C60" s="30"/>
      <c r="D60" s="1"/>
      <c r="E60" s="1"/>
      <c r="F60" s="1"/>
      <c r="G60" s="359">
        <f>ROUND(110.07*G56^(-0.41731)*G58/100,6)</f>
        <v>0.001289</v>
      </c>
      <c r="H60" s="324" t="s">
        <v>138</v>
      </c>
      <c r="J60" s="510"/>
      <c r="K60" s="18"/>
    </row>
    <row r="61" spans="1:11" ht="12.75" customHeight="1">
      <c r="A61" s="30" t="s">
        <v>297</v>
      </c>
      <c r="B61" s="30"/>
      <c r="C61" s="30"/>
      <c r="D61" s="1"/>
      <c r="E61" s="1"/>
      <c r="F61" s="1"/>
      <c r="G61" s="525">
        <v>0.1</v>
      </c>
      <c r="H61" s="324"/>
      <c r="J61" s="510"/>
      <c r="K61" s="18"/>
    </row>
    <row r="62" spans="1:11" ht="7.5" customHeight="1">
      <c r="A62" s="30"/>
      <c r="B62" s="30"/>
      <c r="C62" s="30"/>
      <c r="D62" s="1"/>
      <c r="E62" s="1"/>
      <c r="F62" s="1"/>
      <c r="G62" s="265"/>
      <c r="H62" s="265"/>
      <c r="J62" s="510"/>
      <c r="K62" s="18"/>
    </row>
    <row r="63" spans="1:11" ht="15" customHeight="1">
      <c r="A63" s="31" t="s">
        <v>298</v>
      </c>
      <c r="B63" s="28"/>
      <c r="C63" s="28"/>
      <c r="D63" s="266"/>
      <c r="E63" s="267"/>
      <c r="F63" s="267"/>
      <c r="G63" s="268"/>
      <c r="H63" s="523">
        <f>G56*G60*(1+G61)</f>
        <v>29719</v>
      </c>
      <c r="I63" s="71"/>
      <c r="J63" s="1"/>
      <c r="K63" s="18"/>
    </row>
    <row r="64" spans="1:11" ht="12.75" customHeight="1">
      <c r="A64" s="43"/>
      <c r="B64" s="44"/>
      <c r="C64" s="44"/>
      <c r="D64" s="269"/>
      <c r="E64" s="269"/>
      <c r="F64" s="269"/>
      <c r="G64" s="270"/>
      <c r="H64" s="270"/>
      <c r="I64" s="63"/>
      <c r="J64" s="45"/>
      <c r="K64" s="18"/>
    </row>
    <row r="65" spans="1:11" ht="12.75" customHeight="1">
      <c r="A65" s="43"/>
      <c r="B65" s="44"/>
      <c r="C65" s="44"/>
      <c r="D65" s="269"/>
      <c r="E65" s="552" t="s">
        <v>329</v>
      </c>
      <c r="F65" s="269"/>
      <c r="G65" s="255" t="s">
        <v>5</v>
      </c>
      <c r="H65" s="270"/>
      <c r="I65" s="63"/>
      <c r="J65" s="45"/>
      <c r="K65" s="18"/>
    </row>
    <row r="66" spans="1:10" ht="12.75" customHeight="1">
      <c r="A66" s="271" t="s">
        <v>128</v>
      </c>
      <c r="B66" s="271"/>
      <c r="C66" s="272"/>
      <c r="D66" s="1"/>
      <c r="E66" s="554">
        <v>0.03</v>
      </c>
      <c r="F66" s="274"/>
      <c r="G66" s="343">
        <v>0.03</v>
      </c>
      <c r="H66" s="370">
        <f>$H$63*G66</f>
        <v>892</v>
      </c>
      <c r="I66" s="59"/>
      <c r="J66" s="238"/>
    </row>
    <row r="67" spans="1:10" ht="12.75" customHeight="1">
      <c r="A67" s="271" t="s">
        <v>36</v>
      </c>
      <c r="B67" s="271"/>
      <c r="C67" s="272"/>
      <c r="D67" s="1"/>
      <c r="E67" s="554">
        <v>0.17</v>
      </c>
      <c r="F67" s="274"/>
      <c r="G67" s="344">
        <v>0.17</v>
      </c>
      <c r="H67" s="370">
        <f aca="true" t="shared" si="1" ref="H67:H75">$H$63*G67</f>
        <v>5052</v>
      </c>
      <c r="I67" s="59"/>
      <c r="J67" s="238"/>
    </row>
    <row r="68" spans="1:10" ht="12.75" customHeight="1">
      <c r="A68" s="271" t="s">
        <v>37</v>
      </c>
      <c r="B68" s="271"/>
      <c r="C68" s="272"/>
      <c r="D68" s="1"/>
      <c r="E68" s="554">
        <v>0.35</v>
      </c>
      <c r="F68" s="274"/>
      <c r="G68" s="344">
        <v>0.35</v>
      </c>
      <c r="H68" s="370">
        <f t="shared" si="1"/>
        <v>10402</v>
      </c>
      <c r="I68" s="59"/>
      <c r="J68" s="238"/>
    </row>
    <row r="69" spans="1:10" ht="12.75" customHeight="1">
      <c r="A69" s="271" t="s">
        <v>38</v>
      </c>
      <c r="B69" s="271"/>
      <c r="C69" s="272"/>
      <c r="D69" s="1"/>
      <c r="E69" s="554">
        <v>0.05</v>
      </c>
      <c r="F69" s="274"/>
      <c r="G69" s="344">
        <v>0.05</v>
      </c>
      <c r="H69" s="370">
        <f t="shared" si="1"/>
        <v>1486</v>
      </c>
      <c r="I69" s="59"/>
      <c r="J69" s="238"/>
    </row>
    <row r="70" spans="1:10" ht="12.75" customHeight="1">
      <c r="A70" s="271" t="s">
        <v>75</v>
      </c>
      <c r="B70" s="271"/>
      <c r="C70" s="272"/>
      <c r="D70" s="1"/>
      <c r="E70" s="554">
        <v>0.27</v>
      </c>
      <c r="F70" s="274"/>
      <c r="G70" s="344">
        <v>0.27</v>
      </c>
      <c r="H70" s="370">
        <f t="shared" si="1"/>
        <v>8024</v>
      </c>
      <c r="I70" s="59"/>
      <c r="J70" s="238"/>
    </row>
    <row r="71" spans="1:10" ht="12.75" customHeight="1">
      <c r="A71" s="271" t="s">
        <v>40</v>
      </c>
      <c r="B71" s="271"/>
      <c r="C71" s="272"/>
      <c r="D71" s="1"/>
      <c r="E71" s="554">
        <v>0.02</v>
      </c>
      <c r="F71" s="274"/>
      <c r="G71" s="344">
        <v>0.02</v>
      </c>
      <c r="H71" s="370">
        <f t="shared" si="1"/>
        <v>594</v>
      </c>
      <c r="I71" s="59"/>
      <c r="J71" s="238"/>
    </row>
    <row r="72" spans="1:10" ht="12.75" customHeight="1">
      <c r="A72" s="271" t="s">
        <v>65</v>
      </c>
      <c r="B72" s="271"/>
      <c r="C72" s="272"/>
      <c r="D72" s="1"/>
      <c r="E72" s="554">
        <v>0.02</v>
      </c>
      <c r="F72" s="274"/>
      <c r="G72" s="344">
        <v>0.02</v>
      </c>
      <c r="H72" s="370">
        <f t="shared" si="1"/>
        <v>594</v>
      </c>
      <c r="I72" s="59"/>
      <c r="J72" s="238"/>
    </row>
    <row r="73" spans="1:10" ht="12.75" customHeight="1">
      <c r="A73" s="271" t="s">
        <v>55</v>
      </c>
      <c r="B73" s="271"/>
      <c r="C73" s="272"/>
      <c r="D73" s="1"/>
      <c r="E73" s="554">
        <v>0.09</v>
      </c>
      <c r="F73" s="274"/>
      <c r="G73" s="344">
        <v>0.09</v>
      </c>
      <c r="H73" s="370">
        <f t="shared" si="1"/>
        <v>2675</v>
      </c>
      <c r="I73" s="59"/>
      <c r="J73" s="238"/>
    </row>
    <row r="74" spans="1:10" ht="12.75" customHeight="1">
      <c r="A74" s="251" t="s">
        <v>76</v>
      </c>
      <c r="B74" s="251"/>
      <c r="C74" s="272"/>
      <c r="D74" s="1"/>
      <c r="E74" s="554">
        <v>0</v>
      </c>
      <c r="F74" s="274"/>
      <c r="G74" s="344">
        <v>0</v>
      </c>
      <c r="H74" s="370">
        <f t="shared" si="1"/>
        <v>0</v>
      </c>
      <c r="I74" s="59"/>
      <c r="J74" s="238"/>
    </row>
    <row r="75" spans="1:10" ht="12.75" customHeight="1">
      <c r="A75" s="276" t="s">
        <v>56</v>
      </c>
      <c r="B75" s="276"/>
      <c r="C75" s="277"/>
      <c r="D75" s="57"/>
      <c r="E75" s="556">
        <v>0</v>
      </c>
      <c r="F75" s="279"/>
      <c r="G75" s="345">
        <v>0</v>
      </c>
      <c r="H75" s="371">
        <f t="shared" si="1"/>
        <v>0</v>
      </c>
      <c r="I75" s="63"/>
      <c r="J75" s="238"/>
    </row>
    <row r="76" spans="1:10" ht="12.75" customHeight="1">
      <c r="A76" s="280" t="s">
        <v>45</v>
      </c>
      <c r="B76" s="251"/>
      <c r="C76" s="30"/>
      <c r="D76" s="1"/>
      <c r="E76" s="281"/>
      <c r="F76" s="281"/>
      <c r="G76" s="346">
        <f>SUM(G66:G75)</f>
        <v>1</v>
      </c>
      <c r="H76" s="372">
        <f>ROUND(SUM(H66:H75),2)</f>
        <v>29719</v>
      </c>
      <c r="J76" s="146">
        <f>H76</f>
        <v>29719</v>
      </c>
    </row>
    <row r="77" spans="7:10" ht="12.75" customHeight="1">
      <c r="G77" s="163"/>
      <c r="J77" s="238"/>
    </row>
    <row r="78" spans="1:14" ht="12.75" customHeight="1">
      <c r="A78" s="54" t="s">
        <v>171</v>
      </c>
      <c r="G78" s="355">
        <v>0</v>
      </c>
      <c r="H78" s="356">
        <v>0</v>
      </c>
      <c r="J78" s="146">
        <f>G78*H78</f>
        <v>0</v>
      </c>
      <c r="L78" s="49"/>
      <c r="M78" s="49"/>
      <c r="N78" s="49"/>
    </row>
    <row r="79" spans="7:10" ht="12.75" customHeight="1">
      <c r="G79" s="163"/>
      <c r="J79" s="238"/>
    </row>
    <row r="80" spans="1:11" s="35" customFormat="1" ht="12.75">
      <c r="A80" s="141" t="s">
        <v>162</v>
      </c>
      <c r="B80" s="142"/>
      <c r="C80" s="143"/>
      <c r="D80" s="143"/>
      <c r="E80" s="144"/>
      <c r="F80" s="145"/>
      <c r="G80" s="164"/>
      <c r="H80" s="144"/>
      <c r="I80" s="144"/>
      <c r="J80" s="146">
        <f>J76+J78</f>
        <v>29719</v>
      </c>
      <c r="K80" s="39"/>
    </row>
    <row r="81" spans="2:11" s="35" customFormat="1" ht="4.5" customHeight="1">
      <c r="B81" s="36"/>
      <c r="C81" s="37"/>
      <c r="D81" s="37"/>
      <c r="E81" s="72"/>
      <c r="F81" s="73"/>
      <c r="G81" s="74"/>
      <c r="H81" s="102"/>
      <c r="J81" s="135"/>
      <c r="K81" s="39"/>
    </row>
    <row r="82" spans="1:11" s="35" customFormat="1" ht="12.75">
      <c r="A82" s="75" t="s">
        <v>13</v>
      </c>
      <c r="B82" s="36"/>
      <c r="C82" s="37"/>
      <c r="D82" s="37"/>
      <c r="E82" s="83"/>
      <c r="F82" s="83"/>
      <c r="G82" s="338">
        <v>0.04</v>
      </c>
      <c r="H82" s="103"/>
      <c r="I82" s="40"/>
      <c r="J82" s="136">
        <f>ROUND(J80*G82,2)</f>
        <v>1189</v>
      </c>
      <c r="K82" s="39"/>
    </row>
    <row r="83" spans="1:11" s="35" customFormat="1" ht="3" customHeight="1">
      <c r="A83" s="76"/>
      <c r="B83" s="77"/>
      <c r="C83" s="78"/>
      <c r="D83" s="78"/>
      <c r="E83" s="85"/>
      <c r="F83" s="85"/>
      <c r="G83" s="339"/>
      <c r="H83" s="104"/>
      <c r="I83" s="76"/>
      <c r="J83" s="137"/>
      <c r="K83" s="39"/>
    </row>
    <row r="84" spans="2:11" s="35" customFormat="1" ht="3" customHeight="1">
      <c r="B84" s="36"/>
      <c r="C84" s="37"/>
      <c r="D84" s="37"/>
      <c r="E84" s="88"/>
      <c r="F84" s="88"/>
      <c r="G84" s="340"/>
      <c r="H84" s="105"/>
      <c r="I84" s="89"/>
      <c r="J84" s="135"/>
      <c r="K84" s="39"/>
    </row>
    <row r="85" spans="1:11" s="35" customFormat="1" ht="12.75">
      <c r="A85" s="80" t="s">
        <v>163</v>
      </c>
      <c r="B85" s="81"/>
      <c r="C85" s="82"/>
      <c r="D85" s="82"/>
      <c r="E85" s="38"/>
      <c r="F85" s="38"/>
      <c r="G85" s="337"/>
      <c r="H85" s="103"/>
      <c r="I85" s="40"/>
      <c r="J85" s="138">
        <f>J80+J82</f>
        <v>30908</v>
      </c>
      <c r="K85" s="39"/>
    </row>
    <row r="86" spans="1:11" s="35" customFormat="1" ht="12.75">
      <c r="A86" s="35" t="s">
        <v>14</v>
      </c>
      <c r="B86" s="36"/>
      <c r="D86" s="37"/>
      <c r="E86" s="79"/>
      <c r="F86" s="79"/>
      <c r="G86" s="41">
        <v>0.2</v>
      </c>
      <c r="H86" s="41"/>
      <c r="J86" s="139">
        <f>ROUND(J85*G86,2)</f>
        <v>6182</v>
      </c>
      <c r="K86" s="39"/>
    </row>
    <row r="87" spans="1:11" s="35" customFormat="1" ht="3" customHeight="1">
      <c r="A87" s="40"/>
      <c r="B87" s="308"/>
      <c r="C87" s="87"/>
      <c r="D87" s="87"/>
      <c r="E87" s="79"/>
      <c r="F87" s="79"/>
      <c r="G87" s="74"/>
      <c r="H87" s="102"/>
      <c r="J87" s="140"/>
      <c r="K87" s="39"/>
    </row>
    <row r="88" spans="1:11" s="35" customFormat="1" ht="12.75">
      <c r="A88" s="296" t="s">
        <v>164</v>
      </c>
      <c r="B88" s="309"/>
      <c r="C88" s="297"/>
      <c r="D88" s="297"/>
      <c r="E88" s="298"/>
      <c r="F88" s="299"/>
      <c r="G88" s="300"/>
      <c r="H88" s="300"/>
      <c r="I88" s="298"/>
      <c r="J88" s="301">
        <f>SUM(J84:J86)</f>
        <v>37090</v>
      </c>
      <c r="K88" s="39"/>
    </row>
    <row r="89" ht="4.5" customHeight="1"/>
    <row r="90" spans="1:7" ht="12.75">
      <c r="A90" s="311" t="s">
        <v>136</v>
      </c>
      <c r="G90" s="520">
        <f>J85/G33</f>
        <v>0.001037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2:N90"/>
  <sheetViews>
    <sheetView showGridLines="0" zoomScale="85" zoomScaleNormal="85" zoomScaleSheetLayoutView="85" zoomScalePageLayoutView="70" workbookViewId="0" topLeftCell="A49">
      <selection activeCell="E66" sqref="E66:E75"/>
    </sheetView>
  </sheetViews>
  <sheetFormatPr defaultColWidth="11.57421875" defaultRowHeight="15"/>
  <cols>
    <col min="1" max="1" width="1.57421875" style="1" customWidth="1"/>
    <col min="2" max="2" width="2.28125" style="7" customWidth="1"/>
    <col min="3" max="3" width="3.28125" style="7" customWidth="1"/>
    <col min="4" max="4" width="33.7109375" style="8" customWidth="1"/>
    <col min="5" max="5" width="8.7109375" style="46" customWidth="1"/>
    <col min="6" max="6" width="6.7109375" style="46" customWidth="1"/>
    <col min="7" max="7" width="15.7109375" style="8" customWidth="1"/>
    <col min="8" max="8" width="11.7109375" style="46" customWidth="1"/>
    <col min="9" max="9" width="7.7109375" style="9" customWidth="1" collapsed="1"/>
    <col min="10" max="10" width="15.7109375" style="10" customWidth="1"/>
    <col min="11" max="11" width="2.7109375" style="65" customWidth="1"/>
    <col min="12" max="16384" width="11.57421875" style="1" customWidth="1"/>
  </cols>
  <sheetData>
    <row r="1" ht="4.5" customHeight="1"/>
    <row r="2" spans="1:11" s="60" customFormat="1" ht="34.5" customHeight="1">
      <c r="A2" s="161" t="s">
        <v>137</v>
      </c>
      <c r="C2" s="13"/>
      <c r="D2" s="112"/>
      <c r="G2" s="61"/>
      <c r="H2" s="61"/>
      <c r="I2" s="570" t="s">
        <v>109</v>
      </c>
      <c r="J2" s="570"/>
      <c r="K2" s="68"/>
    </row>
    <row r="3" spans="1:11" s="11" customFormat="1" ht="6" customHeight="1">
      <c r="A3" s="114"/>
      <c r="B3" s="114"/>
      <c r="C3" s="114"/>
      <c r="D3" s="114"/>
      <c r="E3" s="114"/>
      <c r="F3" s="114"/>
      <c r="G3" s="114"/>
      <c r="H3" s="114"/>
      <c r="I3" s="114"/>
      <c r="J3" s="115"/>
      <c r="K3" s="2"/>
    </row>
    <row r="4" spans="10:11" s="11" customFormat="1" ht="6" customHeight="1">
      <c r="J4" s="2"/>
      <c r="K4" s="2"/>
    </row>
    <row r="5" spans="6:11" s="11" customFormat="1" ht="12.75" customHeight="1">
      <c r="F5" s="109" t="s">
        <v>88</v>
      </c>
      <c r="G5" s="50" t="s">
        <v>51</v>
      </c>
      <c r="H5" s="50"/>
      <c r="I5" s="16" t="s">
        <v>17</v>
      </c>
      <c r="J5" s="133" t="s">
        <v>52</v>
      </c>
      <c r="K5" s="50"/>
    </row>
    <row r="6" spans="7:11" s="11" customFormat="1" ht="6" customHeight="1">
      <c r="G6" s="107"/>
      <c r="J6" s="2"/>
      <c r="K6" s="2"/>
    </row>
    <row r="7" spans="1:11" s="12" customFormat="1" ht="12.75" customHeight="1">
      <c r="A7" s="565">
        <v>1</v>
      </c>
      <c r="B7" s="565"/>
      <c r="C7" s="117"/>
      <c r="D7" s="118" t="s">
        <v>0</v>
      </c>
      <c r="E7" s="118"/>
      <c r="F7" s="205">
        <f>G7/$G$33</f>
        <v>0.001</v>
      </c>
      <c r="G7" s="227">
        <f>_1</f>
        <v>15000</v>
      </c>
      <c r="H7" s="113"/>
      <c r="I7" s="157">
        <v>0</v>
      </c>
      <c r="J7" s="227">
        <f>G7*I7</f>
        <v>0</v>
      </c>
      <c r="K7" s="56"/>
    </row>
    <row r="8" spans="2:11" ht="6.75" customHeight="1">
      <c r="B8" s="4"/>
      <c r="C8" s="6"/>
      <c r="D8" s="1"/>
      <c r="E8" s="1"/>
      <c r="F8" s="206"/>
      <c r="G8" s="222"/>
      <c r="H8" s="1"/>
      <c r="I8" s="132"/>
      <c r="J8" s="222"/>
      <c r="K8" s="69"/>
    </row>
    <row r="9" spans="1:11" s="12" customFormat="1" ht="12.75" customHeight="1">
      <c r="A9" s="565">
        <v>2</v>
      </c>
      <c r="B9" s="565"/>
      <c r="C9" s="117"/>
      <c r="D9" s="118" t="s">
        <v>1</v>
      </c>
      <c r="E9" s="118"/>
      <c r="F9" s="205">
        <f>G9/$G$33</f>
        <v>0.302</v>
      </c>
      <c r="G9" s="227">
        <f>_2</f>
        <v>9000000</v>
      </c>
      <c r="H9" s="113"/>
      <c r="I9" s="158">
        <v>1</v>
      </c>
      <c r="J9" s="227">
        <f>G9*I9</f>
        <v>9000000</v>
      </c>
      <c r="K9" s="56"/>
    </row>
    <row r="10" spans="2:11" ht="6.75" customHeight="1">
      <c r="B10" s="13"/>
      <c r="C10" s="13"/>
      <c r="D10" s="14"/>
      <c r="E10" s="14"/>
      <c r="F10" s="206"/>
      <c r="G10" s="223"/>
      <c r="H10" s="1"/>
      <c r="I10" s="132"/>
      <c r="J10" s="223"/>
      <c r="K10" s="56"/>
    </row>
    <row r="11" spans="1:11" s="11" customFormat="1" ht="12.75" customHeight="1">
      <c r="A11" s="565">
        <v>3</v>
      </c>
      <c r="B11" s="565"/>
      <c r="C11" s="117"/>
      <c r="D11" s="118" t="s">
        <v>7</v>
      </c>
      <c r="E11" s="118"/>
      <c r="F11" s="205">
        <f>G11/$G$33</f>
        <v>0.19</v>
      </c>
      <c r="G11" s="228">
        <f>_3</f>
        <v>5650000</v>
      </c>
      <c r="H11" s="113"/>
      <c r="I11" s="160"/>
      <c r="J11" s="186"/>
      <c r="K11" s="56"/>
    </row>
    <row r="12" spans="1:11" ht="12.75" customHeight="1">
      <c r="A12" s="569">
        <v>3</v>
      </c>
      <c r="B12" s="569"/>
      <c r="C12" s="121" t="s">
        <v>18</v>
      </c>
      <c r="D12" s="122" t="s">
        <v>19</v>
      </c>
      <c r="E12" s="122"/>
      <c r="F12" s="207"/>
      <c r="G12" s="224">
        <f>_3.01</f>
        <v>900000</v>
      </c>
      <c r="H12" s="113"/>
      <c r="I12" s="158">
        <v>1</v>
      </c>
      <c r="J12" s="229">
        <f aca="true" t="shared" si="0" ref="J12:J19">G12*I12</f>
        <v>900000</v>
      </c>
      <c r="K12" s="56"/>
    </row>
    <row r="13" spans="1:11" ht="12.75" customHeight="1">
      <c r="A13" s="568">
        <v>3</v>
      </c>
      <c r="B13" s="568"/>
      <c r="C13" s="125" t="s">
        <v>20</v>
      </c>
      <c r="D13" s="126" t="s">
        <v>27</v>
      </c>
      <c r="E13" s="126"/>
      <c r="F13" s="208"/>
      <c r="G13" s="225">
        <f>_3.02</f>
        <v>1200000</v>
      </c>
      <c r="H13" s="113"/>
      <c r="I13" s="158">
        <v>1</v>
      </c>
      <c r="J13" s="325">
        <f t="shared" si="0"/>
        <v>1200000</v>
      </c>
      <c r="K13" s="56"/>
    </row>
    <row r="14" spans="1:11" ht="12.75" customHeight="1">
      <c r="A14" s="568">
        <v>3</v>
      </c>
      <c r="B14" s="568"/>
      <c r="C14" s="125" t="s">
        <v>21</v>
      </c>
      <c r="D14" s="126" t="s">
        <v>28</v>
      </c>
      <c r="E14" s="126"/>
      <c r="F14" s="208"/>
      <c r="G14" s="226">
        <f>_3.03</f>
        <v>1000000</v>
      </c>
      <c r="H14" s="113"/>
      <c r="I14" s="158">
        <v>1</v>
      </c>
      <c r="J14" s="325">
        <f t="shared" si="0"/>
        <v>1000000</v>
      </c>
      <c r="K14" s="56"/>
    </row>
    <row r="15" spans="1:11" ht="12.75" customHeight="1">
      <c r="A15" s="568">
        <v>3</v>
      </c>
      <c r="B15" s="568"/>
      <c r="C15" s="125" t="s">
        <v>22</v>
      </c>
      <c r="D15" s="126" t="s">
        <v>29</v>
      </c>
      <c r="E15" s="126"/>
      <c r="F15" s="208"/>
      <c r="G15" s="226">
        <f>_3.04</f>
        <v>1500000</v>
      </c>
      <c r="H15" s="113"/>
      <c r="I15" s="158">
        <v>1</v>
      </c>
      <c r="J15" s="325">
        <f t="shared" si="0"/>
        <v>1500000</v>
      </c>
      <c r="K15" s="56"/>
    </row>
    <row r="16" spans="1:11" ht="12.75" customHeight="1">
      <c r="A16" s="568">
        <v>3</v>
      </c>
      <c r="B16" s="568"/>
      <c r="C16" s="125" t="s">
        <v>23</v>
      </c>
      <c r="D16" s="126" t="s">
        <v>32</v>
      </c>
      <c r="E16" s="126"/>
      <c r="F16" s="208"/>
      <c r="G16" s="226">
        <f>_3.05</f>
        <v>600000</v>
      </c>
      <c r="H16" s="113"/>
      <c r="I16" s="158">
        <v>1</v>
      </c>
      <c r="J16" s="325">
        <f t="shared" si="0"/>
        <v>600000</v>
      </c>
      <c r="K16" s="56"/>
    </row>
    <row r="17" spans="1:11" ht="12.75" customHeight="1">
      <c r="A17" s="568">
        <v>3</v>
      </c>
      <c r="B17" s="568"/>
      <c r="C17" s="125" t="s">
        <v>24</v>
      </c>
      <c r="D17" s="126" t="s">
        <v>30</v>
      </c>
      <c r="E17" s="126"/>
      <c r="F17" s="208"/>
      <c r="G17" s="226">
        <f>_3.06</f>
        <v>150000</v>
      </c>
      <c r="H17" s="113"/>
      <c r="I17" s="158">
        <v>1</v>
      </c>
      <c r="J17" s="325">
        <f t="shared" si="0"/>
        <v>150000</v>
      </c>
      <c r="K17" s="56"/>
    </row>
    <row r="18" spans="1:11" ht="12.75" customHeight="1">
      <c r="A18" s="568">
        <v>3</v>
      </c>
      <c r="B18" s="568"/>
      <c r="C18" s="125" t="s">
        <v>25</v>
      </c>
      <c r="D18" s="126" t="s">
        <v>31</v>
      </c>
      <c r="E18" s="126"/>
      <c r="F18" s="208"/>
      <c r="G18" s="226">
        <f>_3.07</f>
        <v>0</v>
      </c>
      <c r="H18" s="113"/>
      <c r="I18" s="158">
        <v>0</v>
      </c>
      <c r="J18" s="325">
        <f t="shared" si="0"/>
        <v>0</v>
      </c>
      <c r="K18" s="56"/>
    </row>
    <row r="19" spans="1:11" ht="12.75" customHeight="1">
      <c r="A19" s="568">
        <v>3</v>
      </c>
      <c r="B19" s="568"/>
      <c r="C19" s="125" t="s">
        <v>26</v>
      </c>
      <c r="D19" s="126" t="s">
        <v>8</v>
      </c>
      <c r="E19" s="126"/>
      <c r="F19" s="208"/>
      <c r="G19" s="226">
        <f>_3.08</f>
        <v>300000</v>
      </c>
      <c r="H19" s="113"/>
      <c r="I19" s="158">
        <v>1</v>
      </c>
      <c r="J19" s="326">
        <f t="shared" si="0"/>
        <v>300000</v>
      </c>
      <c r="K19" s="56"/>
    </row>
    <row r="20" spans="2:11" ht="6.75" customHeight="1">
      <c r="B20" s="13"/>
      <c r="C20" s="13"/>
      <c r="D20" s="14"/>
      <c r="E20" s="14"/>
      <c r="F20" s="206"/>
      <c r="G20" s="186"/>
      <c r="H20" s="1"/>
      <c r="I20" s="159"/>
      <c r="J20" s="186"/>
      <c r="K20" s="55"/>
    </row>
    <row r="21" spans="1:11" s="11" customFormat="1" ht="12.75" customHeight="1">
      <c r="A21" s="565">
        <v>4</v>
      </c>
      <c r="B21" s="565"/>
      <c r="C21" s="117"/>
      <c r="D21" s="118" t="s">
        <v>2</v>
      </c>
      <c r="E21" s="118"/>
      <c r="F21" s="205">
        <f>G21/$G$33</f>
        <v>0.201</v>
      </c>
      <c r="G21" s="227">
        <f>_4</f>
        <v>6000000</v>
      </c>
      <c r="H21" s="113"/>
      <c r="I21" s="158">
        <v>1</v>
      </c>
      <c r="J21" s="227">
        <f>G21*I21</f>
        <v>6000000</v>
      </c>
      <c r="K21" s="56"/>
    </row>
    <row r="22" spans="2:11" ht="6.75" customHeight="1">
      <c r="B22" s="4"/>
      <c r="C22" s="6"/>
      <c r="D22" s="1"/>
      <c r="E22" s="1"/>
      <c r="F22" s="206"/>
      <c r="G22" s="186"/>
      <c r="H22" s="1"/>
      <c r="I22" s="160"/>
      <c r="J22" s="186"/>
      <c r="K22" s="54"/>
    </row>
    <row r="23" spans="1:11" s="12" customFormat="1" ht="12.75" customHeight="1">
      <c r="A23" s="565">
        <v>5</v>
      </c>
      <c r="B23" s="565"/>
      <c r="C23" s="117"/>
      <c r="D23" s="118" t="s">
        <v>9</v>
      </c>
      <c r="E23" s="118"/>
      <c r="F23" s="205">
        <f>G23/$G$33</f>
        <v>0.055</v>
      </c>
      <c r="G23" s="229">
        <f>_5</f>
        <v>1650000</v>
      </c>
      <c r="H23" s="113"/>
      <c r="I23" s="158">
        <v>0</v>
      </c>
      <c r="J23" s="227">
        <f>G23*I23</f>
        <v>0</v>
      </c>
      <c r="K23" s="56"/>
    </row>
    <row r="24" spans="2:11" ht="6.75" customHeight="1">
      <c r="B24" s="13"/>
      <c r="C24" s="13"/>
      <c r="D24" s="14"/>
      <c r="E24" s="14"/>
      <c r="F24" s="206"/>
      <c r="G24" s="223"/>
      <c r="H24" s="1"/>
      <c r="I24" s="132"/>
      <c r="J24" s="223"/>
      <c r="K24" s="56"/>
    </row>
    <row r="25" spans="1:11" s="11" customFormat="1" ht="12.75" customHeight="1">
      <c r="A25" s="565">
        <v>6</v>
      </c>
      <c r="B25" s="565"/>
      <c r="C25" s="117"/>
      <c r="D25" s="118" t="s">
        <v>3</v>
      </c>
      <c r="E25" s="118"/>
      <c r="F25" s="205">
        <f>G25/$G$33</f>
        <v>0.017</v>
      </c>
      <c r="G25" s="227">
        <f>_6</f>
        <v>500000</v>
      </c>
      <c r="H25" s="113"/>
      <c r="I25" s="158">
        <v>0</v>
      </c>
      <c r="J25" s="227">
        <f>G25*I25</f>
        <v>0</v>
      </c>
      <c r="K25" s="56"/>
    </row>
    <row r="26" spans="2:11" ht="6.75" customHeight="1">
      <c r="B26" s="17"/>
      <c r="C26" s="5"/>
      <c r="D26" s="1"/>
      <c r="E26" s="1"/>
      <c r="F26" s="209"/>
      <c r="G26" s="186"/>
      <c r="H26" s="1"/>
      <c r="I26" s="160"/>
      <c r="J26" s="186"/>
      <c r="K26" s="56"/>
    </row>
    <row r="27" spans="1:11" s="12" customFormat="1" ht="12.75" customHeight="1">
      <c r="A27" s="565">
        <v>7</v>
      </c>
      <c r="B27" s="565"/>
      <c r="C27" s="117"/>
      <c r="D27" s="118" t="s">
        <v>143</v>
      </c>
      <c r="E27" s="118"/>
      <c r="F27" s="205">
        <f>G27/$G$33</f>
        <v>0.18</v>
      </c>
      <c r="G27" s="227">
        <f>_7</f>
        <v>5349398</v>
      </c>
      <c r="H27" s="113"/>
      <c r="I27" s="158">
        <v>0</v>
      </c>
      <c r="J27" s="227">
        <f>G27*I27</f>
        <v>0</v>
      </c>
      <c r="K27" s="56"/>
    </row>
    <row r="28" spans="2:11" ht="6.75" customHeight="1">
      <c r="B28" s="13"/>
      <c r="C28" s="13"/>
      <c r="D28" s="14"/>
      <c r="E28" s="14"/>
      <c r="F28" s="209"/>
      <c r="G28" s="223"/>
      <c r="H28" s="1"/>
      <c r="I28" s="132"/>
      <c r="J28" s="223"/>
      <c r="K28" s="56"/>
    </row>
    <row r="29" spans="1:11" s="12" customFormat="1" ht="12.75" customHeight="1">
      <c r="A29" s="565">
        <v>8</v>
      </c>
      <c r="B29" s="565"/>
      <c r="C29" s="117"/>
      <c r="D29" s="118" t="s">
        <v>135</v>
      </c>
      <c r="E29" s="118"/>
      <c r="F29" s="205">
        <f>G29/$G$33</f>
        <v>0.001</v>
      </c>
      <c r="G29" s="227">
        <f>_8</f>
        <v>36000</v>
      </c>
      <c r="H29" s="113"/>
      <c r="I29" s="158">
        <v>0</v>
      </c>
      <c r="J29" s="227">
        <f>G29*I29</f>
        <v>0</v>
      </c>
      <c r="K29" s="56"/>
    </row>
    <row r="30" spans="2:11" ht="6.75" customHeight="1">
      <c r="B30" s="13"/>
      <c r="C30" s="13"/>
      <c r="D30" s="14"/>
      <c r="E30" s="14"/>
      <c r="F30" s="209"/>
      <c r="G30" s="186"/>
      <c r="H30" s="1"/>
      <c r="I30" s="159"/>
      <c r="J30" s="186"/>
      <c r="K30" s="55"/>
    </row>
    <row r="31" spans="1:11" s="12" customFormat="1" ht="12.75" customHeight="1">
      <c r="A31" s="565">
        <v>9</v>
      </c>
      <c r="B31" s="565"/>
      <c r="C31" s="117"/>
      <c r="D31" s="118" t="s">
        <v>10</v>
      </c>
      <c r="E31" s="118"/>
      <c r="F31" s="205">
        <f>G31/$G$33</f>
        <v>0.054</v>
      </c>
      <c r="G31" s="227">
        <f>_9</f>
        <v>1600000</v>
      </c>
      <c r="H31" s="113"/>
      <c r="I31" s="158">
        <v>0.1</v>
      </c>
      <c r="J31" s="227">
        <f>G31*I31</f>
        <v>160000</v>
      </c>
      <c r="K31" s="56"/>
    </row>
    <row r="32" spans="2:11" ht="12" customHeight="1">
      <c r="B32" s="17"/>
      <c r="C32" s="5"/>
      <c r="D32" s="1"/>
      <c r="E32" s="1"/>
      <c r="F32" s="53"/>
      <c r="G32" s="1"/>
      <c r="H32" s="1"/>
      <c r="I32" s="1"/>
      <c r="J32" s="1"/>
      <c r="K32" s="1"/>
    </row>
    <row r="33" spans="1:11" ht="12.75" customHeight="1">
      <c r="A33" s="169" t="s">
        <v>12</v>
      </c>
      <c r="B33" s="170"/>
      <c r="C33" s="170"/>
      <c r="D33" s="170"/>
      <c r="E33" s="100"/>
      <c r="F33" s="111">
        <f>SUM(F7:F31)</f>
        <v>1</v>
      </c>
      <c r="G33" s="134">
        <f>_EK</f>
        <v>29800398</v>
      </c>
      <c r="H33" s="101"/>
      <c r="I33" s="284"/>
      <c r="J33" s="33"/>
      <c r="K33" s="33"/>
    </row>
    <row r="34" spans="2:11" ht="6" customHeight="1">
      <c r="B34" s="503"/>
      <c r="C34" s="13"/>
      <c r="D34" s="14"/>
      <c r="E34" s="1"/>
      <c r="F34" s="53"/>
      <c r="G34" s="14"/>
      <c r="H34" s="1"/>
      <c r="I34" s="19"/>
      <c r="J34" s="15"/>
      <c r="K34" s="1"/>
    </row>
    <row r="35" spans="1:10" s="11" customFormat="1" ht="12.75" customHeight="1">
      <c r="A35" s="565"/>
      <c r="B35" s="565"/>
      <c r="C35" s="117" t="s">
        <v>286</v>
      </c>
      <c r="D35" s="118"/>
      <c r="E35" s="328"/>
      <c r="F35" s="205"/>
      <c r="G35" s="227">
        <f>_mvB</f>
        <v>150000</v>
      </c>
      <c r="H35" s="113"/>
      <c r="I35" s="158">
        <v>1</v>
      </c>
      <c r="J35" s="227">
        <f>G35*I35</f>
        <v>150000</v>
      </c>
    </row>
    <row r="36" spans="2:11" ht="6" customHeight="1">
      <c r="B36" s="13"/>
      <c r="C36" s="13"/>
      <c r="D36" s="14"/>
      <c r="E36" s="1"/>
      <c r="F36" s="53"/>
      <c r="G36" s="14"/>
      <c r="H36" s="1"/>
      <c r="I36" s="19"/>
      <c r="J36" s="15"/>
      <c r="K36" s="18"/>
    </row>
    <row r="37" spans="1:11" s="20" customFormat="1" ht="12.75" customHeight="1">
      <c r="A37" s="303" t="s">
        <v>33</v>
      </c>
      <c r="B37" s="304"/>
      <c r="C37" s="304"/>
      <c r="D37" s="304"/>
      <c r="E37" s="319"/>
      <c r="F37" s="319"/>
      <c r="G37" s="319"/>
      <c r="H37" s="319"/>
      <c r="I37" s="320"/>
      <c r="J37" s="321">
        <f>SUM(J7:J35)</f>
        <v>20960000</v>
      </c>
      <c r="K37" s="70"/>
    </row>
    <row r="38" spans="2:11" s="22" customFormat="1" ht="12.75" customHeight="1">
      <c r="B38" s="25"/>
      <c r="C38" s="25"/>
      <c r="D38" s="23"/>
      <c r="E38" s="52"/>
      <c r="F38" s="52"/>
      <c r="G38" s="23"/>
      <c r="H38" s="52"/>
      <c r="I38" s="248"/>
      <c r="J38" s="248"/>
      <c r="K38" s="32"/>
    </row>
    <row r="39" spans="2:10" ht="9" customHeight="1">
      <c r="B39" s="21"/>
      <c r="J39" s="505"/>
    </row>
    <row r="40" spans="1:10" ht="6" customHeight="1">
      <c r="A40" s="251"/>
      <c r="B40" s="251"/>
      <c r="C40" s="251"/>
      <c r="D40" s="271"/>
      <c r="E40" s="283"/>
      <c r="F40" s="283"/>
      <c r="G40" s="271"/>
      <c r="H40" s="283"/>
      <c r="J40" s="506"/>
    </row>
    <row r="41" spans="1:11" ht="12.75" customHeight="1">
      <c r="A41" s="249" t="s">
        <v>80</v>
      </c>
      <c r="B41" s="249"/>
      <c r="C41" s="249"/>
      <c r="D41" s="250"/>
      <c r="E41" s="250"/>
      <c r="F41" s="250"/>
      <c r="G41" s="250"/>
      <c r="H41" s="250"/>
      <c r="I41" s="249"/>
      <c r="J41" s="507"/>
      <c r="K41" s="508"/>
    </row>
    <row r="42" spans="1:10" ht="6.75" customHeight="1">
      <c r="A42" s="251"/>
      <c r="B42" s="251"/>
      <c r="C42" s="251"/>
      <c r="D42" s="251"/>
      <c r="E42" s="252"/>
      <c r="F42" s="252"/>
      <c r="G42" s="251"/>
      <c r="H42" s="252"/>
      <c r="J42" s="506"/>
    </row>
    <row r="43" spans="1:11" ht="12.75" customHeight="1">
      <c r="A43" s="253" t="s">
        <v>89</v>
      </c>
      <c r="B43" s="254"/>
      <c r="C43" s="254"/>
      <c r="D43" s="254"/>
      <c r="E43" s="254"/>
      <c r="F43" s="254"/>
      <c r="G43" s="254"/>
      <c r="H43" s="254"/>
      <c r="I43" s="63"/>
      <c r="J43" s="506"/>
      <c r="K43" s="18"/>
    </row>
    <row r="44" spans="1:11" ht="12.75" customHeight="1">
      <c r="A44" s="27"/>
      <c r="B44" s="27"/>
      <c r="C44" s="27"/>
      <c r="D44" s="1"/>
      <c r="E44" s="1"/>
      <c r="F44" s="1"/>
      <c r="G44" s="255" t="s">
        <v>5</v>
      </c>
      <c r="H44" s="256" t="s">
        <v>4</v>
      </c>
      <c r="J44" s="424"/>
      <c r="K44" s="64"/>
    </row>
    <row r="45" spans="2:11" ht="12.75" customHeight="1">
      <c r="B45" s="28" t="s">
        <v>47</v>
      </c>
      <c r="C45" s="66"/>
      <c r="D45" s="57"/>
      <c r="E45" s="57"/>
      <c r="F45" s="57"/>
      <c r="G45" s="175">
        <v>22</v>
      </c>
      <c r="H45" s="257" t="s">
        <v>62</v>
      </c>
      <c r="I45" s="19"/>
      <c r="J45" s="424"/>
      <c r="K45" s="64"/>
    </row>
    <row r="46" spans="2:11" ht="12.75" customHeight="1">
      <c r="B46" s="29" t="s">
        <v>48</v>
      </c>
      <c r="C46" s="67"/>
      <c r="D46" s="58"/>
      <c r="E46" s="58"/>
      <c r="F46" s="58"/>
      <c r="G46" s="176">
        <v>2</v>
      </c>
      <c r="H46" s="258" t="s">
        <v>6</v>
      </c>
      <c r="I46" s="19"/>
      <c r="J46" s="424"/>
      <c r="K46" s="64"/>
    </row>
    <row r="47" spans="2:11" ht="12.75" customHeight="1">
      <c r="B47" s="29" t="s">
        <v>49</v>
      </c>
      <c r="C47" s="67"/>
      <c r="D47" s="58"/>
      <c r="E47" s="58"/>
      <c r="F47" s="58"/>
      <c r="G47" s="176">
        <v>1</v>
      </c>
      <c r="H47" s="258" t="s">
        <v>6</v>
      </c>
      <c r="I47" s="19"/>
      <c r="J47" s="424"/>
      <c r="K47" s="64"/>
    </row>
    <row r="48" spans="2:11" ht="12.75" customHeight="1">
      <c r="B48" s="29" t="s">
        <v>50</v>
      </c>
      <c r="C48" s="58"/>
      <c r="D48" s="58"/>
      <c r="E48" s="58"/>
      <c r="F48" s="58"/>
      <c r="G48" s="176">
        <v>2</v>
      </c>
      <c r="H48" s="258" t="s">
        <v>6</v>
      </c>
      <c r="I48" s="19"/>
      <c r="J48" s="424"/>
      <c r="K48" s="64"/>
    </row>
    <row r="49" spans="1:11" ht="4.5" customHeight="1">
      <c r="A49" s="44"/>
      <c r="B49" s="44"/>
      <c r="C49" s="44"/>
      <c r="D49" s="1"/>
      <c r="E49" s="1"/>
      <c r="F49" s="1"/>
      <c r="G49" s="259"/>
      <c r="H49" s="259"/>
      <c r="I49" s="63"/>
      <c r="J49" s="424"/>
      <c r="K49" s="64"/>
    </row>
    <row r="50" spans="2:11" ht="12.75" customHeight="1">
      <c r="B50" s="27" t="s">
        <v>15</v>
      </c>
      <c r="C50" s="1"/>
      <c r="D50" s="260"/>
      <c r="E50" s="261"/>
      <c r="F50" s="261"/>
      <c r="G50" s="177">
        <v>0</v>
      </c>
      <c r="H50" s="261"/>
      <c r="J50" s="424"/>
      <c r="K50" s="1"/>
    </row>
    <row r="51" spans="1:11" ht="4.5" customHeight="1">
      <c r="A51" s="44"/>
      <c r="B51" s="44"/>
      <c r="C51" s="1"/>
      <c r="D51" s="261"/>
      <c r="E51" s="261"/>
      <c r="F51" s="261"/>
      <c r="G51" s="261"/>
      <c r="H51" s="261"/>
      <c r="I51" s="59"/>
      <c r="J51" s="424"/>
      <c r="K51" s="1"/>
    </row>
    <row r="52" spans="2:11" ht="12.75" customHeight="1">
      <c r="B52" s="27" t="s">
        <v>46</v>
      </c>
      <c r="C52" s="1"/>
      <c r="D52" s="260"/>
      <c r="E52" s="261"/>
      <c r="F52" s="261"/>
      <c r="G52" s="262">
        <f>SUM(G45:G50)</f>
        <v>27</v>
      </c>
      <c r="H52" s="261"/>
      <c r="J52" s="424"/>
      <c r="K52" s="1"/>
    </row>
    <row r="53" spans="2:11" ht="12.75" customHeight="1">
      <c r="B53" s="44"/>
      <c r="C53" s="1"/>
      <c r="D53" s="261"/>
      <c r="E53" s="261"/>
      <c r="F53" s="261"/>
      <c r="G53" s="261"/>
      <c r="H53" s="261"/>
      <c r="I53" s="59"/>
      <c r="J53" s="424"/>
      <c r="K53" s="1"/>
    </row>
    <row r="54" spans="1:11" ht="12.75" customHeight="1">
      <c r="A54" s="253" t="s">
        <v>16</v>
      </c>
      <c r="B54" s="253"/>
      <c r="C54" s="254"/>
      <c r="D54" s="254"/>
      <c r="E54" s="254"/>
      <c r="F54" s="254"/>
      <c r="G54" s="254"/>
      <c r="H54" s="254"/>
      <c r="I54" s="509"/>
      <c r="J54" s="1"/>
      <c r="K54" s="18"/>
    </row>
    <row r="55" spans="1:11" ht="4.5" customHeight="1">
      <c r="A55" s="263"/>
      <c r="B55" s="263"/>
      <c r="C55" s="263"/>
      <c r="D55" s="263"/>
      <c r="J55" s="1"/>
      <c r="K55" s="18"/>
    </row>
    <row r="56" spans="1:11" ht="12.75" customHeight="1">
      <c r="A56" s="264" t="s">
        <v>11</v>
      </c>
      <c r="B56" s="264"/>
      <c r="C56" s="1"/>
      <c r="G56" s="307">
        <f>J37</f>
        <v>20960000</v>
      </c>
      <c r="J56" s="1"/>
      <c r="K56" s="18"/>
    </row>
    <row r="57" spans="1:11" ht="7.5" customHeight="1">
      <c r="A57" s="30"/>
      <c r="B57" s="30"/>
      <c r="C57" s="30"/>
      <c r="D57" s="30"/>
      <c r="E57" s="26"/>
      <c r="F57" s="26"/>
      <c r="G57" s="260"/>
      <c r="J57" s="510"/>
      <c r="K57" s="18"/>
    </row>
    <row r="58" spans="1:11" ht="12.75" customHeight="1">
      <c r="A58" s="30" t="s">
        <v>78</v>
      </c>
      <c r="B58" s="30"/>
      <c r="C58" s="30"/>
      <c r="D58" s="1"/>
      <c r="E58" s="1"/>
      <c r="F58" s="1"/>
      <c r="G58" s="147">
        <f>0.013*G52+0.923</f>
        <v>1.27</v>
      </c>
      <c r="H58" s="180"/>
      <c r="J58" s="510"/>
      <c r="K58" s="18"/>
    </row>
    <row r="59" spans="1:11" ht="4.5" customHeight="1">
      <c r="A59" s="30"/>
      <c r="B59" s="30"/>
      <c r="C59" s="30"/>
      <c r="D59" s="1"/>
      <c r="E59" s="1"/>
      <c r="F59" s="1"/>
      <c r="G59" s="42"/>
      <c r="H59" s="180"/>
      <c r="J59" s="510"/>
      <c r="K59" s="18"/>
    </row>
    <row r="60" spans="1:11" ht="12.75" customHeight="1">
      <c r="A60" s="30" t="s">
        <v>79</v>
      </c>
      <c r="B60" s="30"/>
      <c r="C60" s="30"/>
      <c r="D60" s="1"/>
      <c r="E60" s="1"/>
      <c r="F60" s="1"/>
      <c r="G60" s="359">
        <f>ROUND(506.2538*G56^(-0.5074)*G58/100,6)</f>
        <v>0.00124</v>
      </c>
      <c r="H60" s="324" t="s">
        <v>138</v>
      </c>
      <c r="J60" s="510"/>
      <c r="K60" s="18"/>
    </row>
    <row r="61" spans="1:11" ht="12.75" customHeight="1">
      <c r="A61" s="30" t="s">
        <v>297</v>
      </c>
      <c r="B61" s="30"/>
      <c r="C61" s="30"/>
      <c r="D61" s="1"/>
      <c r="E61" s="1"/>
      <c r="F61" s="1"/>
      <c r="G61" s="525">
        <v>0.1</v>
      </c>
      <c r="H61" s="324"/>
      <c r="J61" s="510"/>
      <c r="K61" s="18"/>
    </row>
    <row r="62" spans="1:11" ht="7.5" customHeight="1">
      <c r="A62" s="30"/>
      <c r="B62" s="30"/>
      <c r="C62" s="30"/>
      <c r="D62" s="1"/>
      <c r="E62" s="1"/>
      <c r="F62" s="1"/>
      <c r="G62" s="265"/>
      <c r="H62" s="265"/>
      <c r="J62" s="510"/>
      <c r="K62" s="18"/>
    </row>
    <row r="63" spans="1:11" ht="15" customHeight="1">
      <c r="A63" s="31" t="s">
        <v>299</v>
      </c>
      <c r="B63" s="28"/>
      <c r="C63" s="28"/>
      <c r="D63" s="266"/>
      <c r="E63" s="267"/>
      <c r="F63" s="267"/>
      <c r="G63" s="268"/>
      <c r="H63" s="523">
        <f>G56*G60*(1+G61)</f>
        <v>28589</v>
      </c>
      <c r="I63" s="71"/>
      <c r="J63" s="15"/>
      <c r="K63" s="18"/>
    </row>
    <row r="64" spans="1:11" ht="12.75" customHeight="1">
      <c r="A64" s="43"/>
      <c r="B64" s="44"/>
      <c r="C64" s="44"/>
      <c r="D64" s="269"/>
      <c r="E64" s="269"/>
      <c r="F64" s="269"/>
      <c r="G64" s="270"/>
      <c r="H64" s="270"/>
      <c r="I64" s="63"/>
      <c r="J64" s="45"/>
      <c r="K64" s="18"/>
    </row>
    <row r="65" spans="1:11" ht="12.75" customHeight="1">
      <c r="A65" s="43"/>
      <c r="B65" s="44"/>
      <c r="C65" s="44"/>
      <c r="D65" s="269"/>
      <c r="E65" s="559" t="s">
        <v>329</v>
      </c>
      <c r="F65" s="553"/>
      <c r="G65" s="558" t="s">
        <v>5</v>
      </c>
      <c r="H65" s="270"/>
      <c r="I65" s="63"/>
      <c r="J65" s="45"/>
      <c r="K65" s="18"/>
    </row>
    <row r="66" spans="1:10" ht="12.75" customHeight="1">
      <c r="A66" s="271" t="s">
        <v>128</v>
      </c>
      <c r="B66" s="271"/>
      <c r="C66" s="272"/>
      <c r="D66" s="1"/>
      <c r="E66" s="554">
        <v>0.03</v>
      </c>
      <c r="F66" s="274"/>
      <c r="G66" s="343">
        <v>0.03</v>
      </c>
      <c r="H66" s="370">
        <f>$H$63*G66</f>
        <v>858</v>
      </c>
      <c r="I66" s="59"/>
      <c r="J66" s="238"/>
    </row>
    <row r="67" spans="1:10" ht="12.75" customHeight="1">
      <c r="A67" s="271" t="s">
        <v>36</v>
      </c>
      <c r="B67" s="271"/>
      <c r="C67" s="272"/>
      <c r="D67" s="1"/>
      <c r="E67" s="554">
        <v>0.17</v>
      </c>
      <c r="F67" s="274"/>
      <c r="G67" s="344">
        <v>0.17</v>
      </c>
      <c r="H67" s="370">
        <f aca="true" t="shared" si="1" ref="H67:H75">$H$63*G67</f>
        <v>4860</v>
      </c>
      <c r="I67" s="59"/>
      <c r="J67" s="238"/>
    </row>
    <row r="68" spans="1:10" ht="12.75" customHeight="1">
      <c r="A68" s="271" t="s">
        <v>37</v>
      </c>
      <c r="B68" s="271"/>
      <c r="C68" s="272"/>
      <c r="D68" s="1"/>
      <c r="E68" s="554">
        <v>0.35</v>
      </c>
      <c r="F68" s="274"/>
      <c r="G68" s="344">
        <v>0.35</v>
      </c>
      <c r="H68" s="370">
        <f t="shared" si="1"/>
        <v>10006</v>
      </c>
      <c r="I68" s="59"/>
      <c r="J68" s="238"/>
    </row>
    <row r="69" spans="1:10" ht="12.75" customHeight="1">
      <c r="A69" s="271" t="s">
        <v>38</v>
      </c>
      <c r="B69" s="271"/>
      <c r="C69" s="272"/>
      <c r="D69" s="1"/>
      <c r="E69" s="554">
        <v>0.05</v>
      </c>
      <c r="F69" s="274"/>
      <c r="G69" s="344">
        <v>0.05</v>
      </c>
      <c r="H69" s="370">
        <f t="shared" si="1"/>
        <v>1429</v>
      </c>
      <c r="I69" s="59"/>
      <c r="J69" s="238"/>
    </row>
    <row r="70" spans="1:10" ht="12.75" customHeight="1">
      <c r="A70" s="271" t="s">
        <v>75</v>
      </c>
      <c r="B70" s="271"/>
      <c r="C70" s="272"/>
      <c r="D70" s="1"/>
      <c r="E70" s="554">
        <v>0.27</v>
      </c>
      <c r="F70" s="274"/>
      <c r="G70" s="344">
        <v>0.27</v>
      </c>
      <c r="H70" s="370">
        <f t="shared" si="1"/>
        <v>7719</v>
      </c>
      <c r="I70" s="59"/>
      <c r="J70" s="238"/>
    </row>
    <row r="71" spans="1:10" ht="12.75" customHeight="1">
      <c r="A71" s="271" t="s">
        <v>40</v>
      </c>
      <c r="B71" s="271"/>
      <c r="C71" s="272"/>
      <c r="D71" s="1"/>
      <c r="E71" s="554">
        <v>0.02</v>
      </c>
      <c r="F71" s="274"/>
      <c r="G71" s="344">
        <v>0.02</v>
      </c>
      <c r="H71" s="370">
        <f t="shared" si="1"/>
        <v>572</v>
      </c>
      <c r="I71" s="59"/>
      <c r="J71" s="238"/>
    </row>
    <row r="72" spans="1:10" ht="12.75" customHeight="1">
      <c r="A72" s="271" t="s">
        <v>65</v>
      </c>
      <c r="B72" s="271"/>
      <c r="C72" s="272"/>
      <c r="D72" s="1"/>
      <c r="E72" s="554">
        <v>0.02</v>
      </c>
      <c r="F72" s="274"/>
      <c r="G72" s="344">
        <v>0.02</v>
      </c>
      <c r="H72" s="370">
        <f t="shared" si="1"/>
        <v>572</v>
      </c>
      <c r="I72" s="59"/>
      <c r="J72" s="238"/>
    </row>
    <row r="73" spans="1:10" ht="12.75" customHeight="1">
      <c r="A73" s="271" t="s">
        <v>55</v>
      </c>
      <c r="B73" s="271"/>
      <c r="C73" s="272"/>
      <c r="D73" s="1"/>
      <c r="E73" s="554">
        <v>0.09</v>
      </c>
      <c r="F73" s="274"/>
      <c r="G73" s="344">
        <v>0.09</v>
      </c>
      <c r="H73" s="370">
        <f t="shared" si="1"/>
        <v>2573</v>
      </c>
      <c r="I73" s="59"/>
      <c r="J73" s="238"/>
    </row>
    <row r="74" spans="1:10" ht="12.75" customHeight="1">
      <c r="A74" s="251" t="s">
        <v>76</v>
      </c>
      <c r="B74" s="251"/>
      <c r="C74" s="272"/>
      <c r="D74" s="1"/>
      <c r="E74" s="554">
        <v>0</v>
      </c>
      <c r="F74" s="274"/>
      <c r="G74" s="344">
        <v>0</v>
      </c>
      <c r="H74" s="370">
        <f t="shared" si="1"/>
        <v>0</v>
      </c>
      <c r="I74" s="59"/>
      <c r="J74" s="238"/>
    </row>
    <row r="75" spans="1:10" ht="12.75" customHeight="1">
      <c r="A75" s="276" t="s">
        <v>56</v>
      </c>
      <c r="B75" s="276"/>
      <c r="C75" s="277"/>
      <c r="D75" s="57"/>
      <c r="E75" s="556">
        <v>0</v>
      </c>
      <c r="F75" s="279"/>
      <c r="G75" s="345">
        <v>0</v>
      </c>
      <c r="H75" s="371">
        <f t="shared" si="1"/>
        <v>0</v>
      </c>
      <c r="I75" s="63"/>
      <c r="J75" s="238"/>
    </row>
    <row r="76" spans="1:10" ht="12.75" customHeight="1">
      <c r="A76" s="280" t="s">
        <v>45</v>
      </c>
      <c r="B76" s="251"/>
      <c r="C76" s="30"/>
      <c r="D76" s="1"/>
      <c r="E76" s="281"/>
      <c r="F76" s="281"/>
      <c r="G76" s="346">
        <f>SUM(G66:G75)</f>
        <v>1</v>
      </c>
      <c r="H76" s="372">
        <f>ROUND(SUM(H66:H75),2)</f>
        <v>28589</v>
      </c>
      <c r="J76" s="146">
        <f>H76</f>
        <v>28589</v>
      </c>
    </row>
    <row r="77" spans="7:10" ht="12.75" customHeight="1">
      <c r="G77" s="163"/>
      <c r="J77" s="238"/>
    </row>
    <row r="78" spans="1:14" ht="12.75" customHeight="1">
      <c r="A78" s="54" t="s">
        <v>171</v>
      </c>
      <c r="G78" s="355">
        <v>0</v>
      </c>
      <c r="H78" s="356">
        <v>0</v>
      </c>
      <c r="J78" s="146">
        <f>G78*H78</f>
        <v>0</v>
      </c>
      <c r="L78" s="49"/>
      <c r="M78" s="49"/>
      <c r="N78" s="49"/>
    </row>
    <row r="79" spans="7:10" ht="12.75" customHeight="1">
      <c r="G79" s="163"/>
      <c r="J79" s="238"/>
    </row>
    <row r="80" spans="1:11" s="35" customFormat="1" ht="12.75">
      <c r="A80" s="141" t="s">
        <v>165</v>
      </c>
      <c r="B80" s="142"/>
      <c r="C80" s="143"/>
      <c r="D80" s="143"/>
      <c r="E80" s="144"/>
      <c r="F80" s="145"/>
      <c r="G80" s="164"/>
      <c r="H80" s="144"/>
      <c r="I80" s="144"/>
      <c r="J80" s="146">
        <f>J76+J78</f>
        <v>28589</v>
      </c>
      <c r="K80" s="39"/>
    </row>
    <row r="81" spans="2:11" s="35" customFormat="1" ht="4.5" customHeight="1">
      <c r="B81" s="36"/>
      <c r="C81" s="37"/>
      <c r="D81" s="37"/>
      <c r="E81" s="72"/>
      <c r="F81" s="73"/>
      <c r="G81" s="74"/>
      <c r="H81" s="102"/>
      <c r="J81" s="135"/>
      <c r="K81" s="39"/>
    </row>
    <row r="82" spans="1:11" s="35" customFormat="1" ht="12.75">
      <c r="A82" s="75" t="s">
        <v>13</v>
      </c>
      <c r="B82" s="36"/>
      <c r="C82" s="37"/>
      <c r="D82" s="37"/>
      <c r="E82" s="83"/>
      <c r="F82" s="83"/>
      <c r="G82" s="338">
        <v>0.04</v>
      </c>
      <c r="H82" s="103"/>
      <c r="I82" s="40"/>
      <c r="J82" s="136">
        <f>ROUND(J80*G82,2)</f>
        <v>1144</v>
      </c>
      <c r="K82" s="39"/>
    </row>
    <row r="83" spans="1:11" s="35" customFormat="1" ht="3" customHeight="1">
      <c r="A83" s="76"/>
      <c r="B83" s="77"/>
      <c r="C83" s="78"/>
      <c r="D83" s="78"/>
      <c r="E83" s="85"/>
      <c r="F83" s="85"/>
      <c r="G83" s="339"/>
      <c r="H83" s="104"/>
      <c r="I83" s="76"/>
      <c r="J83" s="137"/>
      <c r="K83" s="39"/>
    </row>
    <row r="84" spans="2:11" s="35" customFormat="1" ht="3" customHeight="1">
      <c r="B84" s="36"/>
      <c r="C84" s="37"/>
      <c r="D84" s="37"/>
      <c r="E84" s="88"/>
      <c r="F84" s="88"/>
      <c r="G84" s="340"/>
      <c r="H84" s="105"/>
      <c r="I84" s="89"/>
      <c r="J84" s="135"/>
      <c r="K84" s="39"/>
    </row>
    <row r="85" spans="1:11" s="35" customFormat="1" ht="12.75">
      <c r="A85" s="80" t="s">
        <v>166</v>
      </c>
      <c r="B85" s="81"/>
      <c r="C85" s="82"/>
      <c r="D85" s="82"/>
      <c r="E85" s="38"/>
      <c r="F85" s="38"/>
      <c r="G85" s="337"/>
      <c r="H85" s="103"/>
      <c r="I85" s="40"/>
      <c r="J85" s="138">
        <f>J80+J82</f>
        <v>29733</v>
      </c>
      <c r="K85" s="39"/>
    </row>
    <row r="86" spans="1:11" s="35" customFormat="1" ht="12.75">
      <c r="A86" s="35" t="s">
        <v>14</v>
      </c>
      <c r="B86" s="36"/>
      <c r="D86" s="37"/>
      <c r="E86" s="79"/>
      <c r="F86" s="79"/>
      <c r="G86" s="41">
        <v>0.2</v>
      </c>
      <c r="H86" s="41"/>
      <c r="J86" s="139">
        <f>ROUND(J85*G86,2)</f>
        <v>5947</v>
      </c>
      <c r="K86" s="39"/>
    </row>
    <row r="87" spans="1:11" s="35" customFormat="1" ht="3" customHeight="1">
      <c r="A87" s="40"/>
      <c r="B87" s="308"/>
      <c r="C87" s="87"/>
      <c r="D87" s="87"/>
      <c r="E87" s="79"/>
      <c r="F87" s="79"/>
      <c r="G87" s="74"/>
      <c r="H87" s="102"/>
      <c r="J87" s="140"/>
      <c r="K87" s="39"/>
    </row>
    <row r="88" spans="1:11" s="40" customFormat="1" ht="12.75">
      <c r="A88" s="296" t="s">
        <v>167</v>
      </c>
      <c r="B88" s="309"/>
      <c r="C88" s="297"/>
      <c r="D88" s="297"/>
      <c r="E88" s="298"/>
      <c r="F88" s="299"/>
      <c r="G88" s="300"/>
      <c r="H88" s="300"/>
      <c r="I88" s="298"/>
      <c r="J88" s="301">
        <f>SUM(J84:J86)</f>
        <v>35680</v>
      </c>
      <c r="K88" s="39"/>
    </row>
    <row r="89" ht="4.5" customHeight="1"/>
    <row r="90" spans="1:7" ht="12.75">
      <c r="A90" s="311" t="s">
        <v>136</v>
      </c>
      <c r="G90" s="520">
        <f>J85/G33</f>
        <v>0.000998</v>
      </c>
    </row>
  </sheetData>
  <sheetProtection password="D2DC" sheet="1"/>
  <mergeCells count="19">
    <mergeCell ref="I2:J2"/>
    <mergeCell ref="A7:B7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5:B35"/>
    <mergeCell ref="A21:B21"/>
    <mergeCell ref="A23:B23"/>
    <mergeCell ref="A25:B25"/>
    <mergeCell ref="A27:B27"/>
    <mergeCell ref="A29:B29"/>
    <mergeCell ref="A31:B31"/>
  </mergeCells>
  <printOptions/>
  <pageMargins left="0.5905511811023623" right="0.5905511811023623" top="0.7480314960629921" bottom="0.7480314960629921" header="0.31496062992125984" footer="0.31496062992125984"/>
  <pageSetup fitToHeight="2" horizontalDpi="600" verticalDpi="600" orientation="portrait" pageOrder="overThenDown" paperSize="9" scale="74" r:id="rId2"/>
  <headerFooter>
    <oddHeader>&amp;L&amp;"Arial,Fett"&amp;K01+027Angebot Generalplaner gesamt  (GP 2b + PL + ÖBA)
&amp;"Arial,Standard"(TA Anlagengruppen getrennt)&amp;R&amp;"Arial,Standard"&amp;K01+028Version 9
Stand: 07.01.2020</oddHeader>
    <oddFooter>&amp;L&amp;"Arial,Fett"&amp;K01+034LM.VM.2014&amp;"Arial,Standard"  | &amp;A |  Angebotsformular&amp;R&amp;"Arial,Standard"&amp;K01+034&amp;P/&amp;N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Kienbeck Kerstin</dc:creator>
  <cp:keywords/>
  <dc:description/>
  <cp:lastModifiedBy>edv</cp:lastModifiedBy>
  <cp:lastPrinted>2020-01-30T12:36:48Z</cp:lastPrinted>
  <dcterms:created xsi:type="dcterms:W3CDTF">2009-05-04T08:45:42Z</dcterms:created>
  <dcterms:modified xsi:type="dcterms:W3CDTF">2020-03-25T15:24:08Z</dcterms:modified>
  <cp:category/>
  <cp:version/>
  <cp:contentType/>
  <cp:contentStatus/>
</cp:coreProperties>
</file>