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\Desktop\"/>
    </mc:Choice>
  </mc:AlternateContent>
  <xr:revisionPtr revIDLastSave="0" documentId="8_{F872AF1D-E9C8-4629-BC63-3B0E86A5F8E4}" xr6:coauthVersionLast="46" xr6:coauthVersionMax="46" xr10:uidLastSave="{00000000-0000-0000-0000-000000000000}"/>
  <bookViews>
    <workbookView xWindow="-120" yWindow="-120" windowWidth="29040" windowHeight="15840" tabRatio="734" activeTab="4" xr2:uid="{00000000-000D-0000-FFFF-FFFF00000000}"/>
  </bookViews>
  <sheets>
    <sheet name="KAT A1" sheetId="12" r:id="rId1"/>
    <sheet name="KAT A2" sheetId="13" r:id="rId2"/>
    <sheet name="KAT B+B1" sheetId="15" r:id="rId3"/>
    <sheet name="KAT_B2" sheetId="14" r:id="rId4"/>
    <sheet name="KAT C" sheetId="16" r:id="rId5"/>
  </sheets>
  <definedNames>
    <definedName name="_xlnm.Print_Area" localSheetId="0">'KAT A1'!$A$1:$K$89</definedName>
    <definedName name="_xlnm.Print_Area" localSheetId="1">'KAT A2'!$A$1:$K$89</definedName>
    <definedName name="_xlnm.Print_Area" localSheetId="2">'KAT B+B1'!$A$1:$K$89</definedName>
    <definedName name="_xlnm.Print_Area" localSheetId="4">'KAT C'!$A$1:$K$89</definedName>
    <definedName name="_xlnm.Print_Area" localSheetId="3">KAT_B2!$A$1:$K$89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6" l="1"/>
  <c r="I30" i="16"/>
  <c r="K30" i="14"/>
  <c r="I30" i="14"/>
  <c r="K30" i="15"/>
  <c r="I30" i="15"/>
  <c r="K30" i="13"/>
  <c r="I30" i="13"/>
  <c r="K30" i="12"/>
  <c r="I30" i="12"/>
  <c r="K8" i="12" l="1"/>
  <c r="F76" i="16" l="1"/>
  <c r="E76" i="16"/>
  <c r="F69" i="16"/>
  <c r="E69" i="16"/>
  <c r="K33" i="16"/>
  <c r="K43" i="16" s="1"/>
  <c r="I33" i="16"/>
  <c r="I43" i="16" s="1"/>
  <c r="K29" i="16"/>
  <c r="I29" i="16"/>
  <c r="K28" i="16"/>
  <c r="I28" i="16"/>
  <c r="K26" i="16"/>
  <c r="I26" i="16"/>
  <c r="K25" i="16"/>
  <c r="I25" i="16"/>
  <c r="F16" i="16"/>
  <c r="F18" i="16" s="1"/>
  <c r="K8" i="16"/>
  <c r="I8" i="16"/>
  <c r="I27" i="16" l="1"/>
  <c r="E78" i="16"/>
  <c r="I16" i="16"/>
  <c r="K27" i="16"/>
  <c r="F78" i="16"/>
  <c r="I9" i="16"/>
  <c r="I10" i="16" s="1"/>
  <c r="I12" i="16"/>
  <c r="I13" i="16"/>
  <c r="I14" i="16"/>
  <c r="I15" i="16"/>
  <c r="K16" i="16"/>
  <c r="I18" i="16"/>
  <c r="I20" i="16" s="1"/>
  <c r="I37" i="16"/>
  <c r="I38" i="16"/>
  <c r="I39" i="16"/>
  <c r="I40" i="16"/>
  <c r="I41" i="16"/>
  <c r="I42" i="16"/>
  <c r="K9" i="16"/>
  <c r="K10" i="16" s="1"/>
  <c r="K12" i="16"/>
  <c r="K13" i="16"/>
  <c r="K14" i="16"/>
  <c r="K15" i="16"/>
  <c r="K18" i="16"/>
  <c r="K20" i="16" s="1"/>
  <c r="K37" i="16"/>
  <c r="K38" i="16"/>
  <c r="K39" i="16"/>
  <c r="K40" i="16"/>
  <c r="K41" i="16"/>
  <c r="K42" i="16"/>
  <c r="I22" i="16" l="1"/>
  <c r="K31" i="16"/>
  <c r="K34" i="16" s="1"/>
  <c r="I31" i="16"/>
  <c r="I34" i="16" s="1"/>
  <c r="I35" i="16" s="1"/>
  <c r="K22" i="16"/>
  <c r="I44" i="16"/>
  <c r="K44" i="16"/>
  <c r="K47" i="16" l="1"/>
  <c r="K35" i="16"/>
  <c r="F44" i="16"/>
  <c r="F45" i="16" s="1"/>
  <c r="I47" i="16"/>
  <c r="K45" i="16" l="1"/>
  <c r="K48" i="16" s="1"/>
  <c r="K49" i="16" s="1"/>
  <c r="I45" i="16"/>
  <c r="I48" i="16" s="1"/>
  <c r="I49" i="16" s="1"/>
  <c r="I69" i="16" s="1"/>
  <c r="F76" i="15"/>
  <c r="E76" i="15"/>
  <c r="F69" i="15"/>
  <c r="E69" i="15"/>
  <c r="K33" i="15"/>
  <c r="K43" i="15" s="1"/>
  <c r="I33" i="15"/>
  <c r="K29" i="15"/>
  <c r="I29" i="15"/>
  <c r="K28" i="15"/>
  <c r="I28" i="15"/>
  <c r="K26" i="15"/>
  <c r="I26" i="15"/>
  <c r="K25" i="15"/>
  <c r="I25" i="15"/>
  <c r="F16" i="15"/>
  <c r="F18" i="15" s="1"/>
  <c r="K8" i="15"/>
  <c r="I8" i="15"/>
  <c r="I16" i="15" s="1"/>
  <c r="K27" i="15" l="1"/>
  <c r="K31" i="15" s="1"/>
  <c r="K34" i="15" s="1"/>
  <c r="I27" i="15"/>
  <c r="I31" i="15" s="1"/>
  <c r="I34" i="15" s="1"/>
  <c r="I35" i="15" s="1"/>
  <c r="I43" i="15"/>
  <c r="I40" i="15"/>
  <c r="E78" i="15"/>
  <c r="F78" i="15"/>
  <c r="I76" i="16"/>
  <c r="I78" i="16"/>
  <c r="I80" i="16" s="1"/>
  <c r="K78" i="16"/>
  <c r="K80" i="16" s="1"/>
  <c r="K76" i="16"/>
  <c r="K69" i="16"/>
  <c r="I9" i="15"/>
  <c r="I10" i="15" s="1"/>
  <c r="I12" i="15"/>
  <c r="I13" i="15"/>
  <c r="I14" i="15"/>
  <c r="I15" i="15"/>
  <c r="K16" i="15"/>
  <c r="I18" i="15"/>
  <c r="I20" i="15" s="1"/>
  <c r="I22" i="15" s="1"/>
  <c r="I37" i="15"/>
  <c r="I38" i="15"/>
  <c r="I39" i="15"/>
  <c r="I41" i="15"/>
  <c r="I42" i="15"/>
  <c r="K9" i="15"/>
  <c r="K10" i="15" s="1"/>
  <c r="K12" i="15"/>
  <c r="K13" i="15"/>
  <c r="K14" i="15"/>
  <c r="K15" i="15"/>
  <c r="K18" i="15"/>
  <c r="K20" i="15" s="1"/>
  <c r="K37" i="15"/>
  <c r="K38" i="15"/>
  <c r="K39" i="15"/>
  <c r="K40" i="15"/>
  <c r="K41" i="15"/>
  <c r="K42" i="15"/>
  <c r="K35" i="15" l="1"/>
  <c r="I84" i="16"/>
  <c r="I82" i="16"/>
  <c r="K84" i="16"/>
  <c r="K82" i="16"/>
  <c r="K22" i="15"/>
  <c r="I44" i="15"/>
  <c r="K44" i="15"/>
  <c r="K47" i="15" s="1"/>
  <c r="F44" i="15" l="1"/>
  <c r="F45" i="15" s="1"/>
  <c r="I47" i="15"/>
  <c r="K45" i="15" l="1"/>
  <c r="K48" i="15" s="1"/>
  <c r="K49" i="15" s="1"/>
  <c r="I45" i="15"/>
  <c r="I48" i="15" s="1"/>
  <c r="I49" i="15" s="1"/>
  <c r="F76" i="14"/>
  <c r="E76" i="14"/>
  <c r="F69" i="14"/>
  <c r="E69" i="14"/>
  <c r="K33" i="14"/>
  <c r="K43" i="14" s="1"/>
  <c r="I33" i="14"/>
  <c r="I43" i="14" s="1"/>
  <c r="K29" i="14"/>
  <c r="I29" i="14"/>
  <c r="K28" i="14"/>
  <c r="I28" i="14"/>
  <c r="K26" i="14"/>
  <c r="I26" i="14"/>
  <c r="K25" i="14"/>
  <c r="I25" i="14"/>
  <c r="F16" i="14"/>
  <c r="F18" i="14" s="1"/>
  <c r="K8" i="14"/>
  <c r="I8" i="14"/>
  <c r="K27" i="14" l="1"/>
  <c r="K31" i="14" s="1"/>
  <c r="K34" i="14" s="1"/>
  <c r="I16" i="14"/>
  <c r="I27" i="14"/>
  <c r="I31" i="14" s="1"/>
  <c r="I34" i="14" s="1"/>
  <c r="I35" i="14" s="1"/>
  <c r="E78" i="14"/>
  <c r="F78" i="14"/>
  <c r="I76" i="15"/>
  <c r="I78" i="15"/>
  <c r="I80" i="15" s="1"/>
  <c r="I69" i="15"/>
  <c r="K78" i="15"/>
  <c r="K80" i="15" s="1"/>
  <c r="K69" i="15"/>
  <c r="K76" i="15"/>
  <c r="I9" i="14"/>
  <c r="I10" i="14" s="1"/>
  <c r="I12" i="14"/>
  <c r="I13" i="14"/>
  <c r="I14" i="14"/>
  <c r="I15" i="14"/>
  <c r="K16" i="14"/>
  <c r="I18" i="14"/>
  <c r="I20" i="14" s="1"/>
  <c r="I22" i="14" s="1"/>
  <c r="I37" i="14"/>
  <c r="I38" i="14"/>
  <c r="I39" i="14"/>
  <c r="I40" i="14"/>
  <c r="I41" i="14"/>
  <c r="I42" i="14"/>
  <c r="K9" i="14"/>
  <c r="K10" i="14" s="1"/>
  <c r="K12" i="14"/>
  <c r="K13" i="14"/>
  <c r="K14" i="14"/>
  <c r="K15" i="14"/>
  <c r="K18" i="14"/>
  <c r="K20" i="14" s="1"/>
  <c r="K37" i="14"/>
  <c r="K38" i="14"/>
  <c r="K39" i="14"/>
  <c r="K40" i="14"/>
  <c r="K41" i="14"/>
  <c r="K42" i="14"/>
  <c r="K35" i="14" l="1"/>
  <c r="K22" i="14"/>
  <c r="I84" i="15"/>
  <c r="I82" i="15"/>
  <c r="K84" i="15"/>
  <c r="K82" i="15"/>
  <c r="I44" i="14"/>
  <c r="K44" i="14"/>
  <c r="K47" i="14" s="1"/>
  <c r="F44" i="14" l="1"/>
  <c r="F45" i="14" s="1"/>
  <c r="I47" i="14"/>
  <c r="K45" i="14" l="1"/>
  <c r="K48" i="14" s="1"/>
  <c r="K49" i="14" s="1"/>
  <c r="I45" i="14"/>
  <c r="I48" i="14" s="1"/>
  <c r="I49" i="14" s="1"/>
  <c r="I76" i="14" l="1"/>
  <c r="I78" i="14"/>
  <c r="I80" i="14" s="1"/>
  <c r="I69" i="14"/>
  <c r="K78" i="14"/>
  <c r="K80" i="14" s="1"/>
  <c r="K76" i="14"/>
  <c r="K69" i="14"/>
  <c r="F76" i="13"/>
  <c r="F78" i="13" s="1"/>
  <c r="E76" i="13"/>
  <c r="E78" i="13" s="1"/>
  <c r="F69" i="13"/>
  <c r="E69" i="13"/>
  <c r="K33" i="13"/>
  <c r="K43" i="13" s="1"/>
  <c r="I33" i="13"/>
  <c r="I43" i="13" s="1"/>
  <c r="K29" i="13"/>
  <c r="I29" i="13"/>
  <c r="K28" i="13"/>
  <c r="I28" i="13"/>
  <c r="K26" i="13"/>
  <c r="I26" i="13"/>
  <c r="K25" i="13"/>
  <c r="I25" i="13"/>
  <c r="F16" i="13"/>
  <c r="F18" i="13" s="1"/>
  <c r="K8" i="13"/>
  <c r="I8" i="13"/>
  <c r="I16" i="13" s="1"/>
  <c r="I27" i="13" l="1"/>
  <c r="I31" i="13" s="1"/>
  <c r="I34" i="13" s="1"/>
  <c r="I35" i="13" s="1"/>
  <c r="K27" i="13"/>
  <c r="K31" i="13" s="1"/>
  <c r="I84" i="14"/>
  <c r="I82" i="14"/>
  <c r="K84" i="14"/>
  <c r="K82" i="14"/>
  <c r="I9" i="13"/>
  <c r="I10" i="13" s="1"/>
  <c r="I12" i="13"/>
  <c r="I13" i="13"/>
  <c r="I14" i="13"/>
  <c r="I15" i="13"/>
  <c r="K16" i="13"/>
  <c r="I18" i="13"/>
  <c r="I20" i="13" s="1"/>
  <c r="I22" i="13" s="1"/>
  <c r="I37" i="13"/>
  <c r="I38" i="13"/>
  <c r="I39" i="13"/>
  <c r="I40" i="13"/>
  <c r="I41" i="13"/>
  <c r="I42" i="13"/>
  <c r="K9" i="13"/>
  <c r="K10" i="13" s="1"/>
  <c r="K12" i="13"/>
  <c r="K13" i="13"/>
  <c r="K14" i="13"/>
  <c r="K15" i="13"/>
  <c r="K18" i="13"/>
  <c r="K20" i="13" s="1"/>
  <c r="K37" i="13"/>
  <c r="K38" i="13"/>
  <c r="K39" i="13"/>
  <c r="K40" i="13"/>
  <c r="K41" i="13"/>
  <c r="K42" i="13"/>
  <c r="K34" i="13" l="1"/>
  <c r="K35" i="13"/>
  <c r="K22" i="13"/>
  <c r="I44" i="13"/>
  <c r="K44" i="13"/>
  <c r="K47" i="13" l="1"/>
  <c r="F44" i="13"/>
  <c r="F45" i="13" s="1"/>
  <c r="I47" i="13"/>
  <c r="K45" i="13" l="1"/>
  <c r="K48" i="13" s="1"/>
  <c r="K49" i="13" s="1"/>
  <c r="I45" i="13"/>
  <c r="I48" i="13" s="1"/>
  <c r="I49" i="13" s="1"/>
  <c r="I76" i="13" l="1"/>
  <c r="I78" i="13"/>
  <c r="I80" i="13" s="1"/>
  <c r="I69" i="13"/>
  <c r="K78" i="13"/>
  <c r="K80" i="13" s="1"/>
  <c r="K76" i="13"/>
  <c r="K69" i="13"/>
  <c r="K84" i="13" l="1"/>
  <c r="K82" i="13"/>
  <c r="I84" i="13"/>
  <c r="I82" i="13"/>
  <c r="I26" i="12" l="1"/>
  <c r="I25" i="12"/>
  <c r="I8" i="12"/>
  <c r="I27" i="12" l="1"/>
  <c r="K25" i="12"/>
  <c r="K15" i="12"/>
  <c r="K14" i="12"/>
  <c r="K13" i="12"/>
  <c r="K12" i="12"/>
  <c r="K9" i="12"/>
  <c r="K10" i="12" s="1"/>
  <c r="I33" i="12"/>
  <c r="I37" i="12" s="1"/>
  <c r="I15" i="12"/>
  <c r="I14" i="12"/>
  <c r="I13" i="12"/>
  <c r="I12" i="12"/>
  <c r="I9" i="12"/>
  <c r="I10" i="12" s="1"/>
  <c r="I43" i="12" l="1"/>
  <c r="I38" i="12"/>
  <c r="I39" i="12"/>
  <c r="I40" i="12"/>
  <c r="I42" i="12"/>
  <c r="I41" i="12"/>
  <c r="F76" i="12"/>
  <c r="E76" i="12"/>
  <c r="F69" i="12"/>
  <c r="E69" i="12"/>
  <c r="K33" i="12"/>
  <c r="K29" i="12"/>
  <c r="I29" i="12"/>
  <c r="K28" i="12"/>
  <c r="I28" i="12"/>
  <c r="K26" i="12"/>
  <c r="K27" i="12" s="1"/>
  <c r="K31" i="12" s="1"/>
  <c r="F16" i="12"/>
  <c r="F18" i="12" s="1"/>
  <c r="E78" i="12" l="1"/>
  <c r="I31" i="12"/>
  <c r="I34" i="12" s="1"/>
  <c r="F44" i="12" s="1"/>
  <c r="F45" i="12" s="1"/>
  <c r="I44" i="12"/>
  <c r="K35" i="12"/>
  <c r="F78" i="12"/>
  <c r="I18" i="12"/>
  <c r="I20" i="12" s="1"/>
  <c r="K18" i="12"/>
  <c r="K20" i="12" s="1"/>
  <c r="K42" i="12"/>
  <c r="K38" i="12"/>
  <c r="K40" i="12"/>
  <c r="K43" i="12"/>
  <c r="K39" i="12"/>
  <c r="K41" i="12"/>
  <c r="K37" i="12"/>
  <c r="K16" i="12"/>
  <c r="I16" i="12"/>
  <c r="K22" i="12" l="1"/>
  <c r="K34" i="12"/>
  <c r="I47" i="12"/>
  <c r="I35" i="12"/>
  <c r="I22" i="12"/>
  <c r="K44" i="12"/>
  <c r="K45" i="12"/>
  <c r="K48" i="12" s="1"/>
  <c r="K49" i="12" l="1"/>
  <c r="K76" i="12" s="1"/>
  <c r="K47" i="12"/>
  <c r="I45" i="12"/>
  <c r="I48" i="12" s="1"/>
  <c r="I49" i="12" s="1"/>
  <c r="K69" i="12" l="1"/>
  <c r="K78" i="12"/>
  <c r="K80" i="12" s="1"/>
  <c r="I76" i="12"/>
  <c r="I69" i="12"/>
  <c r="I78" i="12"/>
  <c r="I80" i="12" s="1"/>
  <c r="I84" i="12" l="1"/>
  <c r="I82" i="12"/>
  <c r="K84" i="12"/>
  <c r="K8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2016 lt. Statistik Austria - Durchschnitt pro Erwerbstätigen entfallende Tage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2016 lt. Statistik Austria - Durchschnitt pro Erwerbstätigen entfallende Tage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2016 lt. Statistik Austria - Durchschnitt pro Erwerbstätigen entfallende Tage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Lang:
</t>
        </r>
        <r>
          <rPr>
            <sz val="8"/>
            <color indexed="81"/>
            <rFont val="Tahoma"/>
            <family val="2"/>
          </rPr>
          <t>Werte 2016 lt. Statistik Austria - Durchschnitt pro Erwerbstätigen entfallende Tage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</author>
  </authors>
  <commentList>
    <comment ref="F29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Lang:
</t>
        </r>
        <r>
          <rPr>
            <sz val="8"/>
            <color indexed="81"/>
            <rFont val="Tahoma"/>
            <family val="2"/>
          </rPr>
          <t>Werte 2016 lt. Statistik Austria - Durchschnitt pro Erwerbstätigen entfallende Tage</t>
        </r>
      </text>
    </comment>
  </commentList>
</comments>
</file>

<file path=xl/sharedStrings.xml><?xml version="1.0" encoding="utf-8"?>
<sst xmlns="http://schemas.openxmlformats.org/spreadsheetml/2006/main" count="871" uniqueCount="152">
  <si>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</si>
  <si>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</si>
  <si>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</si>
  <si>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</si>
  <si>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</si>
  <si>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</si>
  <si>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</si>
  <si>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</si>
  <si>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</si>
  <si>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</si>
  <si>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</si>
  <si>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</si>
  <si>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</si>
  <si>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</si>
  <si>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</si>
  <si>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</si>
  <si>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</si>
  <si>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</si>
  <si>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</si>
  <si>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</si>
  <si>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</si>
  <si>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</si>
  <si>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</si>
  <si>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</si>
  <si>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</si>
  <si>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</si>
  <si>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</si>
  <si>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</si>
  <si>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</si>
  <si>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</si>
  <si>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</si>
  <si>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</si>
  <si>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</si>
  <si>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</si>
  <si>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</si>
  <si>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</si>
  <si>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</si>
  <si>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</si>
  <si>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</si>
  <si>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</si>
  <si>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</si>
  <si>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</si>
  <si>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</si>
  <si>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</si>
  <si>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</si>
  <si>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</si>
  <si>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</si>
  <si>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</si>
  <si>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</si>
  <si>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</si>
  <si>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</si>
  <si>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</si>
  <si>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</si>
  <si>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</si>
  <si>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</si>
  <si>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</si>
  <si>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</si>
  <si>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EDV und Telefon</t>
  </si>
  <si>
    <t>Notwendiger Umsatz je Mitarbeiter und Monat zuzüglich Mehrwertsteuer</t>
  </si>
  <si>
    <t>Notwendiger Umsatz je Mitarbeiter und Jahr zuzüglich Mehrwertsteuer</t>
  </si>
  <si>
    <t>Beispielkalkulation: Verrechnungsstundensatz Leistungskategorie A1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</si>
  <si>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</si>
  <si>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</si>
  <si>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</si>
  <si>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</si>
  <si>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</si>
  <si>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</si>
  <si>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</si>
  <si>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</si>
  <si>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</si>
  <si>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</si>
  <si>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</si>
  <si>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</si>
  <si>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</si>
  <si>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</si>
  <si>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</si>
  <si>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</si>
  <si>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</si>
  <si>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</si>
  <si>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</si>
  <si>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</si>
  <si>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</si>
  <si>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</si>
  <si>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</si>
  <si>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</si>
  <si>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</si>
  <si>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</si>
  <si>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</si>
  <si>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</si>
  <si>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</si>
  <si>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</si>
  <si>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</si>
  <si>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</si>
  <si>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</si>
  <si>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</si>
  <si>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</si>
  <si>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</si>
  <si>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</si>
  <si>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r>
      <rPr>
        <b/>
        <sz val="9"/>
        <color theme="1"/>
        <rFont val="Arial"/>
        <family val="2"/>
      </rPr>
      <t xml:space="preserve">Leistungskategorie A: 
</t>
    </r>
    <r>
      <rPr>
        <sz val="9"/>
        <color theme="1"/>
        <rFont val="Arial"/>
        <family val="2"/>
      </rPr>
      <t xml:space="preserve">Konzeptive und strategische Aufgaben - Senior Experts; Expertentätigkeit, die von Ziviltechnikern erbracht wird, wie Projektleitung, Projektsteuerung, Analytik, Konzeption, Gestaltung, Konstruktion, allgemeine, strategische, ökonomische, ökologische Beratung, Leitung örtl. Bauaufsichten, Vertretung des Auftraggebers und dgl. </t>
    </r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</si>
  <si>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</si>
  <si>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</si>
  <si>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</si>
  <si>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</si>
  <si>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</si>
  <si>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</si>
  <si>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</si>
  <si>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</si>
  <si>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</si>
  <si>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</si>
  <si>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</si>
  <si>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</si>
  <si>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</si>
  <si>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</si>
  <si>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Rücklagenbildung/Honorarausfälle</t>
  </si>
  <si>
    <t>abhängig von betr. Kalkulation</t>
  </si>
  <si>
    <t>anteilige Unternehmervergütung (GF-Gehalt)</t>
  </si>
  <si>
    <t>Beispielkalkulation: Verrechnungsstundensatz Leistungskategorie A2</t>
  </si>
  <si>
    <r>
      <rPr>
        <b/>
        <sz val="9"/>
        <color theme="1"/>
        <rFont val="Arial"/>
        <family val="2"/>
      </rPr>
      <t xml:space="preserve"> Leistungskategorie A: </t>
    </r>
    <r>
      <rPr>
        <sz val="9"/>
        <color theme="1"/>
        <rFont val="Arial"/>
        <family val="2"/>
      </rPr>
      <t xml:space="preserve">
 Konzeptive und strategische Aufgaben - Senior Experts; Expertentätigkeit, die von   
 Ziviltechnikern erbracht wird, wie Projektleitung, Projektsteuerung, Analytik, Konzeption, 
 Gestaltung, Konstruktion, allgemeine, strategische, ökonomische, ökologische Beratung, 
 Leitung örtl. Bauaufsichten, Vertretung des Auftraggebers und dgl. </t>
    </r>
  </si>
  <si>
    <t>Beispielkalkulation: Verrechnungsstundensatz Leistungskategorie B2</t>
  </si>
  <si>
    <r>
      <rPr>
        <b/>
        <sz val="9"/>
        <color theme="1"/>
        <rFont val="Arial"/>
        <family val="2"/>
      </rPr>
      <t xml:space="preserve">Leistungskategorie B2:
</t>
    </r>
    <r>
      <rPr>
        <sz val="9"/>
        <color theme="1"/>
        <rFont val="Arial"/>
        <family val="2"/>
      </rPr>
      <t>Ingenieure, Konstrukteure, Ausschreiber, Bauabrechnung (Fachpersonal mit einschlägiger Ausbildung / mit bis zu 3-jähriger Erfahrung, unterer Bereich der Bandbreite)</t>
    </r>
  </si>
  <si>
    <t>Beispielkalkulation: Verrechnungsstundensatz Leistungskategorie B und B1</t>
  </si>
  <si>
    <r>
      <rPr>
        <b/>
        <sz val="9"/>
        <color theme="1"/>
        <rFont val="Arial"/>
        <family val="2"/>
      </rPr>
      <t xml:space="preserve">Leistungskategorie B und B1:
</t>
    </r>
    <r>
      <rPr>
        <sz val="9"/>
        <color theme="1"/>
        <rFont val="Arial"/>
        <family val="2"/>
      </rPr>
      <t>Technische u. wirtschaftliche Aufgaben; Experts, Junior Experts
Ingenieure und Experten für Entwurf, Konstruktion, Bemessung, Projektmanagement, Bauaufsicht, etc. (Experten mit mehr als 
3-jähriger Erfahrung, oberer Bereich der Bandbreite)</t>
    </r>
  </si>
  <si>
    <t>Beispielkalkulation: Verrechnungsstundensatz Leistungskategorie C</t>
  </si>
  <si>
    <r>
      <rPr>
        <b/>
        <sz val="9"/>
        <color theme="1"/>
        <rFont val="Arial"/>
        <family val="2"/>
      </rPr>
      <t xml:space="preserve">Leistungskategorie C:
</t>
    </r>
    <r>
      <rPr>
        <sz val="9"/>
        <color theme="1"/>
        <rFont val="Arial"/>
        <family val="2"/>
      </rPr>
      <t>Administrative Aufgaben
Kaufmännische Assistenz, Sekretariat, technisches Hilfspersonal (Technisches und kaufmännisches Hilfspersonal)</t>
    </r>
  </si>
  <si>
    <r>
      <t xml:space="preserve">nach Allgemeinen Regelungen: 
Stundensatz 
</t>
    </r>
    <r>
      <rPr>
        <b/>
        <sz val="10"/>
        <color theme="1"/>
        <rFont val="Arial"/>
        <family val="2"/>
      </rPr>
      <t>120 - 200 Euro</t>
    </r>
  </si>
  <si>
    <t xml:space="preserve"> durch den Anwender einzusetzen</t>
  </si>
  <si>
    <r>
      <t xml:space="preserve"> nach  
 Allgemeinen  
 Regelungen: 
 Stundensatz 
 </t>
    </r>
    <r>
      <rPr>
        <b/>
        <sz val="10"/>
        <color theme="1"/>
        <rFont val="Arial"/>
        <family val="2"/>
      </rPr>
      <t>120-200 Euro</t>
    </r>
  </si>
  <si>
    <t>nach Allgemeinen Regelungen: 
Stundensatz 
85 -120  bzw. 
90 - 120 Euro</t>
  </si>
  <si>
    <t>nach Allgemeinen Regelungen: 
Stundensatz 
85 - 100 Euro</t>
  </si>
  <si>
    <r>
      <t xml:space="preserve">nach Allgemeinen Regelungen: 
Stundensatz 
</t>
    </r>
    <r>
      <rPr>
        <b/>
        <sz val="10"/>
        <color theme="1"/>
        <rFont val="Arial"/>
        <family val="2"/>
      </rPr>
      <t>45 - 70 Euro</t>
    </r>
  </si>
  <si>
    <t>19 b)</t>
  </si>
  <si>
    <t>19 a)</t>
  </si>
  <si>
    <t>Pflegeurlaub</t>
  </si>
  <si>
    <t>abzüglich Krankenstandstage*</t>
  </si>
  <si>
    <t>* Werte 2016 lt. Statistik Austria - Pro Erwerbstätigen entfallende Tage</t>
  </si>
  <si>
    <r>
      <t xml:space="preserve">Daten aus Kollektivvertrag 2021: 
</t>
    </r>
    <r>
      <rPr>
        <sz val="10"/>
        <color theme="1"/>
        <rFont val="Arial"/>
        <family val="2"/>
      </rPr>
      <t xml:space="preserve">Beschäftigungsgruppe 6 im Jahr 3 
</t>
    </r>
    <r>
      <rPr>
        <b/>
        <sz val="10"/>
        <color theme="1"/>
        <rFont val="Arial"/>
        <family val="2"/>
      </rPr>
      <t xml:space="preserve">Daten aus Kollektivvertrag 2021: </t>
    </r>
    <r>
      <rPr>
        <sz val="10"/>
        <color theme="1"/>
        <rFont val="Arial"/>
        <family val="2"/>
      </rPr>
      <t xml:space="preserve">
Beschäftigungsgruppe 6 im Jahr 14</t>
    </r>
  </si>
  <si>
    <t>Version 01    26.01.2021</t>
  </si>
  <si>
    <t>auf Basis Kollektivvertrag 01.01.2021</t>
  </si>
  <si>
    <t>Version 01     26.01.2021</t>
  </si>
  <si>
    <r>
      <t xml:space="preserve">Daten aus Kollektivvertrag 2021: 
</t>
    </r>
    <r>
      <rPr>
        <sz val="10"/>
        <color theme="1"/>
        <rFont val="Arial"/>
        <family val="2"/>
      </rPr>
      <t xml:space="preserve">Beschäftigungsgruppe 5 im Jahr 5
</t>
    </r>
    <r>
      <rPr>
        <b/>
        <sz val="10"/>
        <color theme="1"/>
        <rFont val="Arial"/>
        <family val="2"/>
      </rPr>
      <t xml:space="preserve">Daten aus Kollektivvertrag 2021: </t>
    </r>
    <r>
      <rPr>
        <sz val="10"/>
        <color theme="1"/>
        <rFont val="Arial"/>
        <family val="2"/>
      </rPr>
      <t xml:space="preserve">
Beschäftigungsgruppe 5 im Jahr 14</t>
    </r>
  </si>
  <si>
    <t xml:space="preserve">Version 01     26.01.2021 </t>
  </si>
  <si>
    <r>
      <t xml:space="preserve">Daten aus Kollektivvertrag 2021: 
</t>
    </r>
    <r>
      <rPr>
        <sz val="10"/>
        <color theme="1"/>
        <rFont val="Arial"/>
        <family val="2"/>
      </rPr>
      <t xml:space="preserve">Beschäftigungsgruppe 4 im Jahr 3
</t>
    </r>
    <r>
      <rPr>
        <b/>
        <sz val="10"/>
        <color theme="1"/>
        <rFont val="Arial"/>
        <family val="2"/>
      </rPr>
      <t xml:space="preserve">Daten aus Kollektivvertrag 2021: </t>
    </r>
    <r>
      <rPr>
        <sz val="10"/>
        <color theme="1"/>
        <rFont val="Arial"/>
        <family val="2"/>
      </rPr>
      <t xml:space="preserve">
Beschäftigungsgruppe 4 im Jahr 14</t>
    </r>
  </si>
  <si>
    <r>
      <t xml:space="preserve">Daten aus Kollektivvertrag 2021: 
</t>
    </r>
    <r>
      <rPr>
        <sz val="10"/>
        <color theme="1"/>
        <rFont val="Arial"/>
        <family val="2"/>
      </rPr>
      <t xml:space="preserve">Beschäftigungsgruppe 3 im Jahr 5
</t>
    </r>
    <r>
      <rPr>
        <b/>
        <sz val="10"/>
        <color theme="1"/>
        <rFont val="Arial"/>
        <family val="2"/>
      </rPr>
      <t xml:space="preserve">Daten aus Kollektivvertrag 2021: </t>
    </r>
    <r>
      <rPr>
        <sz val="10"/>
        <color theme="1"/>
        <rFont val="Arial"/>
        <family val="2"/>
      </rPr>
      <t xml:space="preserve">
Beschäftigungsgruppe 3 im Jahr 14</t>
    </r>
  </si>
  <si>
    <t>2021: BG 6/3</t>
  </si>
  <si>
    <t>2021: BG 6/14</t>
  </si>
  <si>
    <t>2021: BG 5/5</t>
  </si>
  <si>
    <t>2021: BG 5/14</t>
  </si>
  <si>
    <t>2021: BG 4/3</t>
  </si>
  <si>
    <t>2021: BG 4/14</t>
  </si>
  <si>
    <t>2021: BG 3/5</t>
  </si>
  <si>
    <t>2021: BG 3/14</t>
  </si>
  <si>
    <t>abzüglich gesetzliche Feiertage (durchschnittlich)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</si>
</sst>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theme="0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9" fontId="9" fillId="0" borderId="24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" fontId="1" fillId="0" borderId="37" xfId="0" applyNumberFormat="1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10" fontId="1" fillId="0" borderId="36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4" fontId="1" fillId="0" borderId="46" xfId="0" applyNumberFormat="1" applyFont="1" applyBorder="1" applyAlignment="1">
      <alignment vertical="center"/>
    </xf>
    <xf numFmtId="4" fontId="3" fillId="0" borderId="46" xfId="0" applyNumberFormat="1" applyFont="1" applyBorder="1" applyAlignment="1">
      <alignment vertical="center"/>
    </xf>
    <xf numFmtId="4" fontId="3" fillId="0" borderId="37" xfId="0" applyNumberFormat="1" applyFont="1" applyBorder="1" applyAlignment="1">
      <alignment vertical="center"/>
    </xf>
    <xf numFmtId="4" fontId="3" fillId="2" borderId="42" xfId="0" applyNumberFormat="1" applyFont="1" applyFill="1" applyBorder="1" applyAlignment="1">
      <alignment vertical="center"/>
    </xf>
    <xf numFmtId="4" fontId="3" fillId="2" borderId="44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6" xfId="0" applyNumberFormat="1" applyFont="1" applyBorder="1" applyAlignment="1">
      <alignment horizontal="center" vertical="center"/>
    </xf>
    <xf numFmtId="164" fontId="14" fillId="3" borderId="36" xfId="0" applyNumberFormat="1" applyFont="1" applyFill="1" applyBorder="1" applyAlignment="1">
      <alignment horizontal="center" vertical="center"/>
    </xf>
    <xf numFmtId="4" fontId="13" fillId="3" borderId="37" xfId="0" applyNumberFormat="1" applyFont="1" applyFill="1" applyBorder="1" applyAlignment="1">
      <alignment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4" fontId="3" fillId="2" borderId="37" xfId="0" applyNumberFormat="1" applyFont="1" applyFill="1" applyBorder="1" applyAlignment="1">
      <alignment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9" fontId="9" fillId="0" borderId="36" xfId="0" applyNumberFormat="1" applyFont="1" applyBorder="1" applyAlignment="1">
      <alignment horizontal="center" vertical="center"/>
    </xf>
    <xf numFmtId="9" fontId="9" fillId="0" borderId="49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0" xfId="0" applyNumberFormat="1" applyFont="1" applyBorder="1" applyAlignment="1">
      <alignment vertical="center"/>
    </xf>
    <xf numFmtId="4" fontId="1" fillId="0" borderId="52" xfId="0" applyNumberFormat="1" applyFont="1" applyBorder="1" applyAlignment="1">
      <alignment vertical="center"/>
    </xf>
    <xf numFmtId="4" fontId="1" fillId="0" borderId="54" xfId="0" applyNumberFormat="1" applyFont="1" applyBorder="1" applyAlignment="1">
      <alignment vertical="center"/>
    </xf>
    <xf numFmtId="0" fontId="1" fillId="0" borderId="38" xfId="0" applyFont="1" applyFill="1" applyBorder="1" applyAlignment="1">
      <alignment horizontal="center" vertical="center"/>
    </xf>
    <xf numFmtId="4" fontId="3" fillId="0" borderId="39" xfId="0" applyNumberFormat="1" applyFont="1" applyFill="1" applyBorder="1" applyAlignment="1">
      <alignment vertical="center"/>
    </xf>
    <xf numFmtId="0" fontId="1" fillId="2" borderId="49" xfId="0" applyFont="1" applyFill="1" applyBorder="1" applyAlignment="1">
      <alignment horizontal="center" vertical="center"/>
    </xf>
    <xf numFmtId="4" fontId="3" fillId="2" borderId="50" xfId="0" applyNumberFormat="1" applyFont="1" applyFill="1" applyBorder="1" applyAlignment="1">
      <alignment vertical="center"/>
    </xf>
    <xf numFmtId="0" fontId="1" fillId="0" borderId="55" xfId="0" applyFont="1" applyBorder="1" applyAlignment="1">
      <alignment horizontal="center" vertical="center"/>
    </xf>
    <xf numFmtId="4" fontId="3" fillId="0" borderId="56" xfId="0" applyNumberFormat="1" applyFont="1" applyBorder="1" applyAlignment="1">
      <alignment vertical="center"/>
    </xf>
    <xf numFmtId="0" fontId="1" fillId="0" borderId="57" xfId="0" applyFont="1" applyBorder="1" applyAlignment="1">
      <alignment horizontal="center" vertical="center"/>
    </xf>
    <xf numFmtId="4" fontId="3" fillId="0" borderId="58" xfId="0" applyNumberFormat="1" applyFont="1" applyBorder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6" xfId="0" applyNumberFormat="1" applyFont="1" applyBorder="1" applyAlignment="1">
      <alignment vertical="center"/>
    </xf>
    <xf numFmtId="4" fontId="1" fillId="0" borderId="58" xfId="0" applyNumberFormat="1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4" fontId="1" fillId="0" borderId="62" xfId="0" applyNumberFormat="1" applyFont="1" applyBorder="1" applyAlignment="1">
      <alignment vertical="center"/>
    </xf>
    <xf numFmtId="0" fontId="1" fillId="0" borderId="63" xfId="0" applyFont="1" applyBorder="1" applyAlignment="1">
      <alignment horizontal="center" vertical="center"/>
    </xf>
    <xf numFmtId="4" fontId="1" fillId="0" borderId="60" xfId="0" applyNumberFormat="1" applyFont="1" applyFill="1" applyBorder="1" applyAlignment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4" fontId="1" fillId="0" borderId="60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5" xfId="0" applyNumberFormat="1" applyFont="1" applyBorder="1" applyAlignment="1">
      <alignment horizontal="center" vertical="center"/>
    </xf>
    <xf numFmtId="9" fontId="1" fillId="0" borderId="57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1" xfId="0" applyNumberFormat="1" applyFont="1" applyBorder="1" applyAlignment="1">
      <alignment horizontal="center" vertical="center"/>
    </xf>
    <xf numFmtId="4" fontId="3" fillId="0" borderId="62" xfId="0" applyNumberFormat="1" applyFont="1" applyBorder="1" applyAlignment="1">
      <alignment vertical="center"/>
    </xf>
    <xf numFmtId="9" fontId="1" fillId="0" borderId="63" xfId="0" applyNumberFormat="1" applyFont="1" applyBorder="1" applyAlignment="1">
      <alignment horizontal="center" vertical="center"/>
    </xf>
    <xf numFmtId="4" fontId="3" fillId="0" borderId="60" xfId="0" applyNumberFormat="1" applyFont="1" applyBorder="1" applyAlignment="1">
      <alignment vertical="center"/>
    </xf>
    <xf numFmtId="4" fontId="1" fillId="0" borderId="64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0" fontId="6" fillId="0" borderId="67" xfId="0" applyFont="1" applyBorder="1" applyAlignment="1">
      <alignment horizontal="center" vertical="center"/>
    </xf>
    <xf numFmtId="9" fontId="3" fillId="0" borderId="69" xfId="0" applyNumberFormat="1" applyFont="1" applyBorder="1" applyAlignment="1">
      <alignment horizontal="center" vertical="center"/>
    </xf>
    <xf numFmtId="9" fontId="1" fillId="0" borderId="70" xfId="0" applyNumberFormat="1" applyFont="1" applyBorder="1" applyAlignment="1">
      <alignment horizontal="center" vertical="center"/>
    </xf>
    <xf numFmtId="9" fontId="3" fillId="0" borderId="71" xfId="0" applyNumberFormat="1" applyFont="1" applyBorder="1" applyAlignment="1">
      <alignment horizontal="center" vertical="center"/>
    </xf>
    <xf numFmtId="10" fontId="3" fillId="0" borderId="6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0" fontId="1" fillId="0" borderId="68" xfId="0" applyNumberFormat="1" applyFont="1" applyBorder="1" applyAlignment="1">
      <alignment horizontal="center" vertical="center"/>
    </xf>
    <xf numFmtId="10" fontId="1" fillId="0" borderId="66" xfId="0" applyNumberFormat="1" applyFont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9" fontId="1" fillId="0" borderId="47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5" xfId="0" applyNumberFormat="1" applyFont="1" applyFill="1" applyBorder="1" applyAlignment="1">
      <alignment horizontal="center" vertical="center"/>
    </xf>
    <xf numFmtId="9" fontId="1" fillId="0" borderId="57" xfId="0" applyNumberFormat="1" applyFont="1" applyFill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10" fontId="1" fillId="0" borderId="70" xfId="0" applyNumberFormat="1" applyFont="1" applyBorder="1" applyAlignment="1">
      <alignment horizontal="center" vertical="center"/>
    </xf>
    <xf numFmtId="0" fontId="6" fillId="0" borderId="77" xfId="0" applyFont="1" applyBorder="1" applyAlignment="1">
      <alignment vertical="center"/>
    </xf>
    <xf numFmtId="0" fontId="1" fillId="0" borderId="77" xfId="0" applyFont="1" applyBorder="1" applyAlignment="1">
      <alignment vertical="center"/>
    </xf>
    <xf numFmtId="10" fontId="1" fillId="0" borderId="78" xfId="0" applyNumberFormat="1" applyFont="1" applyBorder="1" applyAlignment="1">
      <alignment horizontal="center" vertical="center"/>
    </xf>
    <xf numFmtId="10" fontId="1" fillId="0" borderId="79" xfId="0" applyNumberFormat="1" applyFont="1" applyBorder="1" applyAlignment="1">
      <alignment horizontal="center" vertical="center"/>
    </xf>
    <xf numFmtId="4" fontId="1" fillId="0" borderId="80" xfId="0" applyNumberFormat="1" applyFont="1" applyBorder="1" applyAlignment="1">
      <alignment vertical="center"/>
    </xf>
    <xf numFmtId="10" fontId="1" fillId="0" borderId="81" xfId="0" applyNumberFormat="1" applyFont="1" applyBorder="1" applyAlignment="1">
      <alignment horizontal="center" vertical="center"/>
    </xf>
    <xf numFmtId="4" fontId="1" fillId="0" borderId="82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0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6" xfId="0" applyFont="1" applyFill="1" applyBorder="1" applyAlignment="1">
      <alignment horizontal="center" vertical="center"/>
    </xf>
    <xf numFmtId="9" fontId="1" fillId="4" borderId="70" xfId="0" applyNumberFormat="1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71" xfId="0" applyFont="1" applyFill="1" applyBorder="1" applyAlignment="1" applyProtection="1">
      <alignment horizontal="center" vertical="center"/>
      <protection locked="0"/>
    </xf>
    <xf numFmtId="9" fontId="1" fillId="4" borderId="66" xfId="0" applyNumberFormat="1" applyFont="1" applyFill="1" applyBorder="1" applyAlignment="1" applyProtection="1">
      <alignment horizontal="center" vertical="center"/>
      <protection locked="0"/>
    </xf>
    <xf numFmtId="9" fontId="1" fillId="4" borderId="68" xfId="0" applyNumberFormat="1" applyFont="1" applyFill="1" applyBorder="1" applyAlignment="1" applyProtection="1">
      <alignment horizontal="center" vertical="center"/>
      <protection locked="0"/>
    </xf>
    <xf numFmtId="9" fontId="1" fillId="4" borderId="7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7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7" fillId="0" borderId="0" xfId="0" applyFont="1"/>
    <xf numFmtId="0" fontId="18" fillId="3" borderId="0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3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6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3" fillId="3" borderId="8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23322" y="859971"/>
          <a:ext cx="1715033" cy="147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A1</a:t>
          </a:r>
        </a:p>
      </xdr:txBody>
    </xdr:sp>
    <xdr:clientData/>
  </xdr:twoCellAnchor>
  <xdr:twoCellAnchor>
    <xdr:from>
      <xdr:col>8</xdr:col>
      <xdr:colOff>530680</xdr:colOff>
      <xdr:row>2</xdr:row>
      <xdr:rowOff>462642</xdr:rowOff>
    </xdr:from>
    <xdr:to>
      <xdr:col>10</xdr:col>
      <xdr:colOff>762001</xdr:colOff>
      <xdr:row>2</xdr:row>
      <xdr:rowOff>1061356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98430" y="1469571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28925" y="858371"/>
          <a:ext cx="1714232" cy="1482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A2</a:t>
          </a:r>
        </a:p>
      </xdr:txBody>
    </xdr:sp>
    <xdr:clientData/>
  </xdr:twoCellAnchor>
  <xdr:twoCellAnchor>
    <xdr:from>
      <xdr:col>8</xdr:col>
      <xdr:colOff>653143</xdr:colOff>
      <xdr:row>2</xdr:row>
      <xdr:rowOff>449035</xdr:rowOff>
    </xdr:from>
    <xdr:to>
      <xdr:col>11</xdr:col>
      <xdr:colOff>-1</xdr:colOff>
      <xdr:row>2</xdr:row>
      <xdr:rowOff>1047749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20893" y="1449160"/>
          <a:ext cx="150903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7</xdr:col>
      <xdr:colOff>217712</xdr:colOff>
      <xdr:row>1</xdr:row>
      <xdr:rowOff>193221</xdr:rowOff>
    </xdr:from>
    <xdr:to>
      <xdr:col>11</xdr:col>
      <xdr:colOff>95250</xdr:colOff>
      <xdr:row>4</xdr:row>
      <xdr:rowOff>11206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523512" y="898071"/>
          <a:ext cx="2401663" cy="1313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400" spc="-25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B/B1</a:t>
          </a:r>
        </a:p>
      </xdr:txBody>
    </xdr:sp>
    <xdr:clientData/>
  </xdr:twoCellAnchor>
  <xdr:twoCellAnchor>
    <xdr:from>
      <xdr:col>8</xdr:col>
      <xdr:colOff>612323</xdr:colOff>
      <xdr:row>2</xdr:row>
      <xdr:rowOff>449035</xdr:rowOff>
    </xdr:from>
    <xdr:to>
      <xdr:col>10</xdr:col>
      <xdr:colOff>843644</xdr:colOff>
      <xdr:row>2</xdr:row>
      <xdr:rowOff>1047749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280073" y="1449160"/>
          <a:ext cx="1507671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B2</a:t>
          </a:r>
        </a:p>
      </xdr:txBody>
    </xdr:sp>
    <xdr:clientData/>
  </xdr:twoCellAnchor>
  <xdr:twoCellAnchor>
    <xdr:from>
      <xdr:col>8</xdr:col>
      <xdr:colOff>661146</xdr:colOff>
      <xdr:row>2</xdr:row>
      <xdr:rowOff>459441</xdr:rowOff>
    </xdr:from>
    <xdr:to>
      <xdr:col>11</xdr:col>
      <xdr:colOff>7203</xdr:colOff>
      <xdr:row>2</xdr:row>
      <xdr:rowOff>1065359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328896" y="1459566"/>
          <a:ext cx="1508232" cy="605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60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8</xdr:col>
      <xdr:colOff>544287</xdr:colOff>
      <xdr:row>2</xdr:row>
      <xdr:rowOff>503464</xdr:rowOff>
    </xdr:from>
    <xdr:to>
      <xdr:col>10</xdr:col>
      <xdr:colOff>775608</xdr:colOff>
      <xdr:row>3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9212037" y="1503589"/>
          <a:ext cx="1507671" cy="601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89"/>
  <sheetViews>
    <sheetView showGridLines="0" view="pageBreakPreview" topLeftCell="A4" zoomScale="85" zoomScaleNormal="70" zoomScaleSheetLayoutView="85" zoomScalePageLayoutView="70" workbookViewId="0">
      <selection activeCell="D26" sqref="D26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3" ht="55.5" customHeight="1" thickBot="1" x14ac:dyDescent="0.25">
      <c r="B1" s="1" t="s">
        <v>0</v>
      </c>
    </row>
    <row r="2" spans="2:13" ht="23.25" customHeight="1" thickBot="1" x14ac:dyDescent="0.3">
      <c r="B2" s="13" t="s">
        <v>60</v>
      </c>
      <c r="C2" s="14"/>
      <c r="D2" s="15"/>
      <c r="E2" s="15"/>
      <c r="F2" s="15"/>
      <c r="G2" s="34"/>
      <c r="H2" s="34"/>
      <c r="I2" s="15"/>
      <c r="J2" s="34"/>
      <c r="K2" s="16"/>
    </row>
    <row r="3" spans="2:13" ht="87" customHeight="1" x14ac:dyDescent="0.2">
      <c r="B3" s="230" t="s">
        <v>98</v>
      </c>
      <c r="C3" s="231"/>
      <c r="D3" s="231"/>
      <c r="E3" s="72" t="s">
        <v>124</v>
      </c>
      <c r="F3" s="232" t="s">
        <v>135</v>
      </c>
      <c r="G3" s="233"/>
      <c r="H3" s="233"/>
      <c r="I3" s="233"/>
      <c r="J3" s="233"/>
      <c r="K3" s="234"/>
    </row>
    <row r="4" spans="2:13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3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143</v>
      </c>
      <c r="I5" s="239"/>
      <c r="J5" s="236" t="s">
        <v>144</v>
      </c>
      <c r="K5" s="237"/>
    </row>
    <row r="6" spans="2:13" s="2" customFormat="1" ht="15" customHeight="1" x14ac:dyDescent="0.25">
      <c r="B6" s="3"/>
      <c r="C6" s="4"/>
      <c r="D6" s="4"/>
      <c r="E6" s="4"/>
      <c r="F6" s="164" t="s">
        <v>64</v>
      </c>
      <c r="G6" s="198" t="s">
        <v>100</v>
      </c>
      <c r="H6" s="87"/>
      <c r="I6" s="67" t="s">
        <v>66</v>
      </c>
      <c r="J6" s="35"/>
      <c r="K6" s="88" t="s">
        <v>65</v>
      </c>
    </row>
    <row r="7" spans="2:13" s="2" customFormat="1" ht="15" x14ac:dyDescent="0.25">
      <c r="B7" s="58" t="s">
        <v>40</v>
      </c>
      <c r="C7" s="5">
        <v>1</v>
      </c>
      <c r="D7" s="4" t="s">
        <v>52</v>
      </c>
      <c r="E7" s="4"/>
      <c r="F7" s="165"/>
      <c r="G7" s="199"/>
      <c r="H7" s="89" t="s">
        <v>94</v>
      </c>
      <c r="I7" s="20">
        <v>4090</v>
      </c>
      <c r="J7" s="36" t="s">
        <v>94</v>
      </c>
      <c r="K7" s="150">
        <v>4961</v>
      </c>
      <c r="M7" s="150"/>
    </row>
    <row r="8" spans="2:13" s="2" customFormat="1" ht="15" x14ac:dyDescent="0.25">
      <c r="B8" s="58" t="s">
        <v>0</v>
      </c>
      <c r="C8" s="5">
        <v>2</v>
      </c>
      <c r="D8" s="172" t="s">
        <v>53</v>
      </c>
      <c r="E8" s="172"/>
      <c r="F8" s="192">
        <v>0.3</v>
      </c>
      <c r="G8" s="200" t="s">
        <v>101</v>
      </c>
      <c r="H8" s="173" t="s">
        <v>94</v>
      </c>
      <c r="I8" s="126">
        <f>ROUND(I7*(1+F8),2)</f>
        <v>5317</v>
      </c>
      <c r="J8" s="174" t="s">
        <v>94</v>
      </c>
      <c r="K8" s="128">
        <f>ROUND(K7*(1+F8),2)</f>
        <v>6449.3</v>
      </c>
    </row>
    <row r="9" spans="2:13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67</v>
      </c>
      <c r="H9" s="89" t="s">
        <v>94</v>
      </c>
      <c r="I9" s="20">
        <f>ROUND(I8/F9,2)</f>
        <v>1227.94</v>
      </c>
      <c r="J9" s="36" t="s">
        <v>94</v>
      </c>
      <c r="K9" s="150">
        <f>ROUND(K8/F9,2)</f>
        <v>1489.45</v>
      </c>
    </row>
    <row r="10" spans="2:13" s="2" customFormat="1" x14ac:dyDescent="0.25">
      <c r="B10" s="3" t="s">
        <v>0</v>
      </c>
      <c r="C10" s="5">
        <v>4</v>
      </c>
      <c r="D10" s="28" t="s">
        <v>96</v>
      </c>
      <c r="E10" s="28"/>
      <c r="F10" s="162">
        <v>40</v>
      </c>
      <c r="G10" s="202" t="s">
        <v>68</v>
      </c>
      <c r="H10" s="93" t="s">
        <v>94</v>
      </c>
      <c r="I10" s="75">
        <f>ROUND(I9/F10,2)</f>
        <v>30.7</v>
      </c>
      <c r="J10" s="74" t="s">
        <v>94</v>
      </c>
      <c r="K10" s="94">
        <f>ROUND(K9/F10,2)</f>
        <v>37.24</v>
      </c>
    </row>
    <row r="11" spans="2:13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3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69</v>
      </c>
      <c r="H12" s="93" t="s">
        <v>94</v>
      </c>
      <c r="I12" s="75">
        <f>ROUND($I$8*F12,2)</f>
        <v>1160.7</v>
      </c>
      <c r="J12" s="74" t="s">
        <v>94</v>
      </c>
      <c r="K12" s="94">
        <f>ROUND($K$8*F12,2)</f>
        <v>1407.88</v>
      </c>
    </row>
    <row r="13" spans="2:13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70</v>
      </c>
      <c r="H13" s="93" t="s">
        <v>94</v>
      </c>
      <c r="I13" s="75">
        <f>ROUND($I$8*F13,2)</f>
        <v>239.27</v>
      </c>
      <c r="J13" s="74" t="s">
        <v>94</v>
      </c>
      <c r="K13" s="94">
        <f>ROUND($K$8*F13,2)</f>
        <v>290.22000000000003</v>
      </c>
    </row>
    <row r="14" spans="2:13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71</v>
      </c>
      <c r="H14" s="93" t="s">
        <v>94</v>
      </c>
      <c r="I14" s="75">
        <f>ROUND($I$8*F14,2)</f>
        <v>159.51</v>
      </c>
      <c r="J14" s="74" t="s">
        <v>94</v>
      </c>
      <c r="K14" s="94">
        <f>ROUND($K$8*F14,2)</f>
        <v>193.48</v>
      </c>
    </row>
    <row r="15" spans="2:13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72</v>
      </c>
      <c r="H15" s="93" t="s">
        <v>94</v>
      </c>
      <c r="I15" s="75">
        <f>ROUND($I$8*F15,2)</f>
        <v>81.349999999999994</v>
      </c>
      <c r="J15" s="74" t="s">
        <v>94</v>
      </c>
      <c r="K15" s="94">
        <f>ROUND($K$8*F15,2)</f>
        <v>98.67</v>
      </c>
    </row>
    <row r="16" spans="2:13" s="2" customFormat="1" x14ac:dyDescent="0.25">
      <c r="B16" s="3"/>
      <c r="C16" s="5">
        <v>10</v>
      </c>
      <c r="D16" s="31" t="s">
        <v>90</v>
      </c>
      <c r="E16" s="31"/>
      <c r="F16" s="176">
        <f>SUM(F12:F15)</f>
        <v>0.30859999999999999</v>
      </c>
      <c r="G16" s="204" t="s">
        <v>73</v>
      </c>
      <c r="H16" s="125" t="s">
        <v>94</v>
      </c>
      <c r="I16" s="132">
        <f>ROUND($I$8*F16,2)</f>
        <v>1640.83</v>
      </c>
      <c r="J16" s="127" t="s">
        <v>94</v>
      </c>
      <c r="K16" s="133">
        <f>ROUND($K$8*F16,2)</f>
        <v>1990.25</v>
      </c>
    </row>
    <row r="17" spans="2:11" s="2" customFormat="1" x14ac:dyDescent="0.25">
      <c r="B17" s="175" t="s">
        <v>54</v>
      </c>
      <c r="C17" s="18"/>
      <c r="D17" s="177" t="s">
        <v>92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55</v>
      </c>
      <c r="C18" s="5">
        <v>11</v>
      </c>
      <c r="D18" s="28" t="s">
        <v>90</v>
      </c>
      <c r="E18" s="28"/>
      <c r="F18" s="166">
        <f>F16-0.94%</f>
        <v>0.29920000000000002</v>
      </c>
      <c r="G18" s="203" t="s">
        <v>74</v>
      </c>
      <c r="H18" s="93" t="s">
        <v>94</v>
      </c>
      <c r="I18" s="75">
        <f>ROUND($I$8*F18,2)</f>
        <v>1590.85</v>
      </c>
      <c r="J18" s="74" t="s">
        <v>94</v>
      </c>
      <c r="K18" s="94">
        <f>ROUND($K$8*F18,2)</f>
        <v>1929.63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56</v>
      </c>
      <c r="E20" s="50"/>
      <c r="F20" s="168"/>
      <c r="G20" s="207" t="s">
        <v>75</v>
      </c>
      <c r="H20" s="121" t="s">
        <v>94</v>
      </c>
      <c r="I20" s="52">
        <f>ROUND((I8+I18)*2,2)</f>
        <v>13815.7</v>
      </c>
      <c r="J20" s="51" t="s">
        <v>94</v>
      </c>
      <c r="K20" s="122">
        <f>ROUND((K8+K18)*2,2)</f>
        <v>16757.86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97</v>
      </c>
      <c r="E22" s="64"/>
      <c r="F22" s="161"/>
      <c r="G22" s="209" t="s">
        <v>104</v>
      </c>
      <c r="H22" s="123"/>
      <c r="I22" s="66">
        <f>ROUND(((I8+I16)*12+I20)/12,2)</f>
        <v>8109.14</v>
      </c>
      <c r="J22" s="65"/>
      <c r="K22" s="124">
        <f>ROUND(((K8+K16)*12+K20)/12,2)</f>
        <v>9836.0400000000009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76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151</v>
      </c>
      <c r="E26" s="28"/>
      <c r="F26" s="193">
        <v>14</v>
      </c>
      <c r="G26" s="202"/>
      <c r="H26" s="93"/>
      <c r="I26" s="75">
        <f>F26</f>
        <v>14</v>
      </c>
      <c r="J26" s="74"/>
      <c r="K26" s="94">
        <f>F26</f>
        <v>14</v>
      </c>
    </row>
    <row r="27" spans="2:11" s="2" customFormat="1" ht="15" x14ac:dyDescent="0.25">
      <c r="B27" s="3"/>
      <c r="C27" s="5">
        <v>17</v>
      </c>
      <c r="D27" s="29" t="s">
        <v>11</v>
      </c>
      <c r="E27" s="29"/>
      <c r="F27" s="163"/>
      <c r="G27" s="202" t="s">
        <v>102</v>
      </c>
      <c r="H27" s="93"/>
      <c r="I27" s="76">
        <f>ROUND(I24-I25-I26,2)</f>
        <v>247</v>
      </c>
      <c r="J27" s="74"/>
      <c r="K27" s="95">
        <f>ROUND(K24-K25-K26,2)</f>
        <v>247</v>
      </c>
    </row>
    <row r="28" spans="2:11" s="2" customFormat="1" x14ac:dyDescent="0.25">
      <c r="B28" s="3"/>
      <c r="C28" s="5">
        <v>18</v>
      </c>
      <c r="D28" s="28" t="s">
        <v>12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131</v>
      </c>
      <c r="D29" s="28" t="s">
        <v>133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130</v>
      </c>
      <c r="D30" s="28" t="s">
        <v>132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13</v>
      </c>
      <c r="E31" s="29"/>
      <c r="F31" s="163"/>
      <c r="G31" s="202" t="s">
        <v>77</v>
      </c>
      <c r="H31" s="93"/>
      <c r="I31" s="76">
        <f>ROUND(I27-I28-I29-I30,2)</f>
        <v>209.5</v>
      </c>
      <c r="J31" s="74"/>
      <c r="K31" s="95">
        <f>ROUND(K27-K28-K29-K30,2)</f>
        <v>209.5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14</v>
      </c>
      <c r="C33" s="5">
        <v>21</v>
      </c>
      <c r="D33" s="32" t="s">
        <v>15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42</v>
      </c>
      <c r="E34" s="28"/>
      <c r="F34" s="162"/>
      <c r="G34" s="202" t="s">
        <v>78</v>
      </c>
      <c r="H34" s="93"/>
      <c r="I34" s="75">
        <f>ROUND(I31*I33,2)</f>
        <v>1676</v>
      </c>
      <c r="J34" s="74"/>
      <c r="K34" s="94">
        <f>ROUND(K31*K33,2)</f>
        <v>1676</v>
      </c>
    </row>
    <row r="35" spans="2:11" s="2" customFormat="1" ht="15.75" thickBot="1" x14ac:dyDescent="0.3">
      <c r="B35" s="3"/>
      <c r="C35" s="5">
        <v>23</v>
      </c>
      <c r="D35" s="28" t="s">
        <v>43</v>
      </c>
      <c r="E35" s="31"/>
      <c r="F35" s="157"/>
      <c r="G35" s="204" t="s">
        <v>79</v>
      </c>
      <c r="H35" s="125"/>
      <c r="I35" s="126">
        <f>ROUND(I34/12,2)</f>
        <v>139.66999999999999</v>
      </c>
      <c r="J35" s="127"/>
      <c r="K35" s="128">
        <f>ROUND(K31/K24*30.4167*8,2)</f>
        <v>139.66999999999999</v>
      </c>
    </row>
    <row r="36" spans="2:11" s="2" customFormat="1" ht="12.75" customHeight="1" thickBot="1" x14ac:dyDescent="0.3">
      <c r="B36" s="3"/>
      <c r="C36" s="5"/>
      <c r="D36" s="31"/>
      <c r="E36" s="12" t="s">
        <v>93</v>
      </c>
      <c r="F36" s="152" t="s">
        <v>62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16</v>
      </c>
      <c r="C37" s="5">
        <v>24</v>
      </c>
      <c r="D37" s="32" t="s">
        <v>63</v>
      </c>
      <c r="E37" s="131">
        <v>20</v>
      </c>
      <c r="F37" s="194">
        <v>20</v>
      </c>
      <c r="G37" s="203" t="s">
        <v>105</v>
      </c>
      <c r="H37" s="93"/>
      <c r="I37" s="75">
        <f>ROUND(F37*$I$33,2)</f>
        <v>160</v>
      </c>
      <c r="J37" s="74"/>
      <c r="K37" s="94">
        <f t="shared" ref="K37:K43" si="0">ROUND(F37*$K$33,2)</f>
        <v>160</v>
      </c>
    </row>
    <row r="38" spans="2:11" s="2" customFormat="1" x14ac:dyDescent="0.25">
      <c r="B38" s="17" t="s">
        <v>41</v>
      </c>
      <c r="C38" s="5">
        <v>25</v>
      </c>
      <c r="D38" s="28" t="s">
        <v>17</v>
      </c>
      <c r="E38" s="30">
        <v>2</v>
      </c>
      <c r="F38" s="193">
        <v>2</v>
      </c>
      <c r="G38" s="203" t="s">
        <v>106</v>
      </c>
      <c r="H38" s="93"/>
      <c r="I38" s="75">
        <f t="shared" ref="I38:I43" si="1">ROUND(F38*$I$33,2)</f>
        <v>16</v>
      </c>
      <c r="J38" s="74"/>
      <c r="K38" s="94">
        <f t="shared" si="0"/>
        <v>16</v>
      </c>
    </row>
    <row r="39" spans="2:11" s="2" customFormat="1" x14ac:dyDescent="0.25">
      <c r="B39" s="3"/>
      <c r="C39" s="5">
        <v>26</v>
      </c>
      <c r="D39" s="28" t="s">
        <v>18</v>
      </c>
      <c r="E39" s="30">
        <v>4</v>
      </c>
      <c r="F39" s="193">
        <v>4</v>
      </c>
      <c r="G39" s="203" t="s">
        <v>107</v>
      </c>
      <c r="H39" s="93"/>
      <c r="I39" s="75">
        <f t="shared" si="1"/>
        <v>32</v>
      </c>
      <c r="J39" s="74"/>
      <c r="K39" s="94">
        <f t="shared" si="0"/>
        <v>32</v>
      </c>
    </row>
    <row r="40" spans="2:11" s="2" customFormat="1" x14ac:dyDescent="0.25">
      <c r="B40" s="3"/>
      <c r="C40" s="5">
        <v>27</v>
      </c>
      <c r="D40" s="28" t="s">
        <v>19</v>
      </c>
      <c r="E40" s="30">
        <v>20</v>
      </c>
      <c r="F40" s="193">
        <v>20</v>
      </c>
      <c r="G40" s="203" t="s">
        <v>108</v>
      </c>
      <c r="H40" s="93"/>
      <c r="I40" s="75">
        <f t="shared" si="1"/>
        <v>160</v>
      </c>
      <c r="J40" s="74"/>
      <c r="K40" s="94">
        <f t="shared" si="0"/>
        <v>160</v>
      </c>
    </row>
    <row r="41" spans="2:11" s="2" customFormat="1" x14ac:dyDescent="0.25">
      <c r="B41" s="3"/>
      <c r="C41" s="5">
        <v>28</v>
      </c>
      <c r="D41" s="28" t="s">
        <v>112</v>
      </c>
      <c r="E41" s="30">
        <v>5</v>
      </c>
      <c r="F41" s="193">
        <v>5</v>
      </c>
      <c r="G41" s="203" t="s">
        <v>109</v>
      </c>
      <c r="H41" s="93"/>
      <c r="I41" s="75">
        <f t="shared" si="1"/>
        <v>40</v>
      </c>
      <c r="J41" s="74"/>
      <c r="K41" s="94">
        <f t="shared" si="0"/>
        <v>40</v>
      </c>
    </row>
    <row r="42" spans="2:11" s="2" customFormat="1" x14ac:dyDescent="0.25">
      <c r="B42" s="3"/>
      <c r="C42" s="5">
        <v>29</v>
      </c>
      <c r="D42" s="28" t="s">
        <v>20</v>
      </c>
      <c r="E42" s="30">
        <v>10</v>
      </c>
      <c r="F42" s="193">
        <v>10</v>
      </c>
      <c r="G42" s="203" t="s">
        <v>110</v>
      </c>
      <c r="H42" s="93"/>
      <c r="I42" s="75">
        <f t="shared" si="1"/>
        <v>80</v>
      </c>
      <c r="J42" s="74"/>
      <c r="K42" s="94">
        <f t="shared" si="0"/>
        <v>80</v>
      </c>
    </row>
    <row r="43" spans="2:11" s="2" customFormat="1" x14ac:dyDescent="0.25">
      <c r="B43" s="3"/>
      <c r="C43" s="5">
        <v>30</v>
      </c>
      <c r="D43" s="28" t="s">
        <v>24</v>
      </c>
      <c r="E43" s="30">
        <v>30</v>
      </c>
      <c r="F43" s="193">
        <v>30</v>
      </c>
      <c r="G43" s="203" t="s">
        <v>111</v>
      </c>
      <c r="H43" s="93"/>
      <c r="I43" s="75">
        <f t="shared" si="1"/>
        <v>240</v>
      </c>
      <c r="J43" s="74"/>
      <c r="K43" s="94">
        <f t="shared" si="0"/>
        <v>240</v>
      </c>
    </row>
    <row r="44" spans="2:11" s="2" customFormat="1" ht="15" x14ac:dyDescent="0.25">
      <c r="B44" s="3"/>
      <c r="C44" s="5">
        <v>31</v>
      </c>
      <c r="D44" s="28" t="s">
        <v>45</v>
      </c>
      <c r="E44" s="28"/>
      <c r="F44" s="156">
        <f>I44/I34</f>
        <v>0.43440000000000001</v>
      </c>
      <c r="G44" s="203" t="s">
        <v>91</v>
      </c>
      <c r="H44" s="93"/>
      <c r="I44" s="75">
        <f>ROUND(SUM(I37:I43),2)</f>
        <v>728</v>
      </c>
      <c r="J44" s="74"/>
      <c r="K44" s="94">
        <f>ROUND(SUM(K37:K43),2)</f>
        <v>728</v>
      </c>
    </row>
    <row r="45" spans="2:11" s="2" customFormat="1" ht="15" x14ac:dyDescent="0.25">
      <c r="B45" s="3"/>
      <c r="C45" s="5">
        <v>32</v>
      </c>
      <c r="D45" s="28" t="s">
        <v>46</v>
      </c>
      <c r="E45" s="28"/>
      <c r="F45" s="156">
        <f>F44</f>
        <v>0.43440000000000001</v>
      </c>
      <c r="G45" s="203" t="s">
        <v>103</v>
      </c>
      <c r="H45" s="93"/>
      <c r="I45" s="76">
        <f>ROUND(F45*I35,2)</f>
        <v>60.67</v>
      </c>
      <c r="J45" s="74"/>
      <c r="K45" s="95">
        <f>ROUND(F45*K35,2)</f>
        <v>60.67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21</v>
      </c>
      <c r="C47" s="5">
        <v>33</v>
      </c>
      <c r="D47" s="32" t="s">
        <v>22</v>
      </c>
      <c r="E47" s="32"/>
      <c r="F47" s="158"/>
      <c r="G47" s="210" t="s">
        <v>80</v>
      </c>
      <c r="H47" s="134"/>
      <c r="I47" s="135">
        <f>ROUND(I34-I44,2)</f>
        <v>948</v>
      </c>
      <c r="J47" s="136"/>
      <c r="K47" s="140">
        <f>ROUND(K34-K44,2)</f>
        <v>948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44</v>
      </c>
      <c r="E48" s="4"/>
      <c r="F48" s="159"/>
      <c r="G48" s="198" t="s">
        <v>81</v>
      </c>
      <c r="H48" s="91"/>
      <c r="I48" s="21">
        <f>ROUND(I35-I45,2)</f>
        <v>79</v>
      </c>
      <c r="J48" s="37"/>
      <c r="K48" s="96">
        <f>ROUND(K35-K45,2)</f>
        <v>79</v>
      </c>
    </row>
    <row r="49" spans="2:14" s="2" customFormat="1" ht="18.75" customHeight="1" x14ac:dyDescent="0.25">
      <c r="B49" s="187" t="s">
        <v>23</v>
      </c>
      <c r="C49" s="188">
        <v>35</v>
      </c>
      <c r="D49" s="189" t="s">
        <v>47</v>
      </c>
      <c r="E49" s="190"/>
      <c r="F49" s="191"/>
      <c r="G49" s="212" t="s">
        <v>82</v>
      </c>
      <c r="H49" s="110" t="s">
        <v>94</v>
      </c>
      <c r="I49" s="107">
        <f>ROUND(I22/I48,2)</f>
        <v>102.65</v>
      </c>
      <c r="J49" s="111" t="s">
        <v>94</v>
      </c>
      <c r="K49" s="109">
        <f>ROUND(K22/K48,2)</f>
        <v>124.51</v>
      </c>
    </row>
    <row r="50" spans="2:14" s="2" customFormat="1" ht="6" customHeight="1" x14ac:dyDescent="0.25">
      <c r="B50" s="3"/>
      <c r="C50" s="4"/>
      <c r="D50" s="4"/>
      <c r="E50" s="4"/>
      <c r="F50" s="5"/>
      <c r="G50" s="40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40"/>
      <c r="H51" s="112"/>
      <c r="I51" s="57"/>
      <c r="J51" s="40"/>
      <c r="K51" s="90"/>
    </row>
    <row r="52" spans="2:14" s="83" customFormat="1" ht="16.5" customHeight="1" x14ac:dyDescent="0.25">
      <c r="B52" s="78" t="s">
        <v>48</v>
      </c>
      <c r="C52" s="84"/>
      <c r="D52" s="79"/>
      <c r="E52" s="79"/>
      <c r="F52" s="85"/>
      <c r="G52" s="85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40"/>
      <c r="H53" s="112"/>
      <c r="I53" s="57"/>
      <c r="J53" s="40"/>
      <c r="K53" s="90"/>
    </row>
    <row r="54" spans="2:14" s="2" customFormat="1" ht="15.75" thickBot="1" x14ac:dyDescent="0.3">
      <c r="B54" s="58" t="s">
        <v>25</v>
      </c>
      <c r="C54" s="8"/>
      <c r="D54" s="8" t="s">
        <v>0</v>
      </c>
      <c r="E54" s="7"/>
      <c r="F54" s="59"/>
      <c r="G54" s="60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26</v>
      </c>
      <c r="C55" s="4"/>
      <c r="D55" s="6"/>
      <c r="E55" s="12" t="s">
        <v>93</v>
      </c>
      <c r="F55" s="152" t="s">
        <v>61</v>
      </c>
      <c r="G55" s="41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95</v>
      </c>
      <c r="E56" s="11">
        <v>7.0000000000000007E-2</v>
      </c>
      <c r="F56" s="195">
        <v>7.0000000000000007E-2</v>
      </c>
      <c r="G56" s="11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32</v>
      </c>
      <c r="E57" s="24">
        <v>0.15</v>
      </c>
      <c r="F57" s="196">
        <v>0.15</v>
      </c>
      <c r="G57" s="24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27</v>
      </c>
      <c r="E58" s="24">
        <v>0.05</v>
      </c>
      <c r="F58" s="196">
        <v>0.05</v>
      </c>
      <c r="G58" s="24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28</v>
      </c>
      <c r="E59" s="24">
        <v>0.08</v>
      </c>
      <c r="F59" s="196">
        <v>0.08</v>
      </c>
      <c r="G59" s="24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29</v>
      </c>
      <c r="E60" s="24">
        <v>0.1</v>
      </c>
      <c r="F60" s="196">
        <v>0.1</v>
      </c>
      <c r="G60" s="24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57</v>
      </c>
      <c r="E61" s="24">
        <v>0.05</v>
      </c>
      <c r="F61" s="196">
        <v>0.05</v>
      </c>
      <c r="G61" s="24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30</v>
      </c>
      <c r="E62" s="24">
        <v>0.01</v>
      </c>
      <c r="F62" s="196">
        <v>0.01</v>
      </c>
      <c r="G62" s="24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33</v>
      </c>
      <c r="E63" s="24">
        <v>0.02</v>
      </c>
      <c r="F63" s="196">
        <v>0.02</v>
      </c>
      <c r="G63" s="24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34</v>
      </c>
      <c r="E64" s="24">
        <v>0.02</v>
      </c>
      <c r="F64" s="196">
        <v>0.02</v>
      </c>
      <c r="G64" s="24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35</v>
      </c>
      <c r="E65" s="24">
        <v>0.01</v>
      </c>
      <c r="F65" s="196">
        <v>0.01</v>
      </c>
      <c r="G65" s="24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31</v>
      </c>
      <c r="E66" s="24">
        <v>0.02</v>
      </c>
      <c r="F66" s="196">
        <v>0.02</v>
      </c>
      <c r="G66" s="24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36</v>
      </c>
      <c r="E67" s="24">
        <v>0.02</v>
      </c>
      <c r="F67" s="196">
        <v>0.02</v>
      </c>
      <c r="G67" s="24"/>
      <c r="H67" s="101"/>
      <c r="I67" s="19"/>
      <c r="J67" s="43"/>
      <c r="K67" s="90"/>
    </row>
    <row r="68" spans="2:17" s="2" customFormat="1" x14ac:dyDescent="0.25">
      <c r="B68" s="9" t="s">
        <v>114</v>
      </c>
      <c r="C68" s="4">
        <v>48</v>
      </c>
      <c r="D68" s="28" t="s">
        <v>115</v>
      </c>
      <c r="E68" s="24">
        <v>0.15</v>
      </c>
      <c r="F68" s="196">
        <v>0.15</v>
      </c>
      <c r="G68" s="77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49</v>
      </c>
      <c r="E69" s="54">
        <f>SUM(E56:E68)</f>
        <v>0.75</v>
      </c>
      <c r="F69" s="153">
        <f>SUM(F56:F68)</f>
        <v>0.75</v>
      </c>
      <c r="G69" s="213" t="s">
        <v>83</v>
      </c>
      <c r="H69" s="170" t="s">
        <v>94</v>
      </c>
      <c r="I69" s="56">
        <f>ROUND(F69*I49,2)</f>
        <v>76.989999999999995</v>
      </c>
      <c r="J69" s="55"/>
      <c r="K69" s="171">
        <f>ROUND(F69*K49,2)</f>
        <v>93.38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39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37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113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38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50</v>
      </c>
      <c r="E76" s="145">
        <f>SUM(E72:E75)</f>
        <v>0.14000000000000001</v>
      </c>
      <c r="F76" s="155">
        <f>SUM(F72:F75)</f>
        <v>0.14000000000000001</v>
      </c>
      <c r="G76" s="218" t="s">
        <v>84</v>
      </c>
      <c r="H76" s="146" t="s">
        <v>94</v>
      </c>
      <c r="I76" s="147">
        <f>ROUND(F76*I49,2)</f>
        <v>14.37</v>
      </c>
      <c r="J76" s="148"/>
      <c r="K76" s="149">
        <f>ROUND(F76*K49,2)</f>
        <v>17.43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51</v>
      </c>
      <c r="E78" s="145">
        <f>E76+E69</f>
        <v>0.89</v>
      </c>
      <c r="F78" s="155">
        <f>F76+F69</f>
        <v>0.89</v>
      </c>
      <c r="G78" s="218" t="s">
        <v>85</v>
      </c>
      <c r="H78" s="146" t="s">
        <v>94</v>
      </c>
      <c r="I78" s="147">
        <f>ROUND(I49*F78,2)</f>
        <v>91.36</v>
      </c>
      <c r="J78" s="148"/>
      <c r="K78" s="149">
        <f>ROUND(F78*K49,2)</f>
        <v>110.81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99</v>
      </c>
      <c r="C80" s="79"/>
      <c r="D80" s="80"/>
      <c r="E80" s="79"/>
      <c r="F80" s="169"/>
      <c r="G80" s="219" t="s">
        <v>86</v>
      </c>
      <c r="H80" s="102" t="s">
        <v>94</v>
      </c>
      <c r="I80" s="81">
        <f>ROUND(I49+I78,2)</f>
        <v>194.01</v>
      </c>
      <c r="J80" s="82"/>
      <c r="K80" s="103">
        <f>ROUND(K49+K78,2)</f>
        <v>235.32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58</v>
      </c>
      <c r="C82" s="190"/>
      <c r="D82" s="189"/>
      <c r="E82" s="190"/>
      <c r="F82" s="191"/>
      <c r="G82" s="212" t="s">
        <v>88</v>
      </c>
      <c r="H82" s="106" t="s">
        <v>94</v>
      </c>
      <c r="I82" s="107">
        <f>ROUND(I80*I48,2)</f>
        <v>15326.79</v>
      </c>
      <c r="J82" s="108"/>
      <c r="K82" s="109">
        <f>ROUND(K80*K48,2)</f>
        <v>18590.28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5"/>
      <c r="K83" s="90"/>
    </row>
    <row r="84" spans="2:11" s="2" customFormat="1" ht="15.75" thickBot="1" x14ac:dyDescent="0.3">
      <c r="B84" s="25" t="s">
        <v>59</v>
      </c>
      <c r="C84" s="26"/>
      <c r="D84" s="27"/>
      <c r="E84" s="26"/>
      <c r="F84" s="160"/>
      <c r="G84" s="220" t="s">
        <v>87</v>
      </c>
      <c r="H84" s="104" t="s">
        <v>94</v>
      </c>
      <c r="I84" s="97">
        <f>ROUND(I80*I47,2)</f>
        <v>183921.48</v>
      </c>
      <c r="J84" s="105"/>
      <c r="K84" s="98">
        <f>ROUND(K80*K47,2)</f>
        <v>223083.36</v>
      </c>
    </row>
    <row r="86" spans="2:11" ht="3.75" customHeight="1" x14ac:dyDescent="0.2"/>
    <row r="87" spans="2:11" x14ac:dyDescent="0.2">
      <c r="B87" s="221" t="s">
        <v>136</v>
      </c>
      <c r="D87" s="221" t="s">
        <v>137</v>
      </c>
      <c r="E87" s="33" t="s">
        <v>89</v>
      </c>
      <c r="F87" s="73"/>
      <c r="G87" s="33" t="s">
        <v>125</v>
      </c>
    </row>
    <row r="88" spans="2:11" ht="3" customHeight="1" x14ac:dyDescent="0.2">
      <c r="E88" s="33"/>
    </row>
    <row r="89" spans="2:11" ht="36.75" customHeight="1" x14ac:dyDescent="0.2">
      <c r="B89" s="235" t="s">
        <v>134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mergeCells count="5">
    <mergeCell ref="B3:D3"/>
    <mergeCell ref="F3:K3"/>
    <mergeCell ref="B89:K89"/>
    <mergeCell ref="J5:K5"/>
    <mergeCell ref="H5:I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89"/>
  <sheetViews>
    <sheetView showGridLines="0" view="pageBreakPreview" topLeftCell="A4" zoomScaleNormal="115" zoomScaleSheetLayoutView="100" zoomScalePageLayoutView="115" workbookViewId="0">
      <selection activeCell="D26" sqref="D26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116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117</v>
      </c>
      <c r="C3" s="231"/>
      <c r="D3" s="231"/>
      <c r="E3" s="72" t="s">
        <v>126</v>
      </c>
      <c r="F3" s="232" t="s">
        <v>135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143</v>
      </c>
      <c r="I5" s="239"/>
      <c r="J5" s="236" t="s">
        <v>144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64</v>
      </c>
      <c r="G6" s="198" t="s">
        <v>100</v>
      </c>
      <c r="H6" s="87"/>
      <c r="I6" s="67" t="s">
        <v>66</v>
      </c>
      <c r="J6" s="35"/>
      <c r="K6" s="88" t="s">
        <v>65</v>
      </c>
    </row>
    <row r="7" spans="2:11" s="2" customFormat="1" ht="15" x14ac:dyDescent="0.25">
      <c r="B7" s="58" t="s">
        <v>40</v>
      </c>
      <c r="C7" s="5">
        <v>1</v>
      </c>
      <c r="D7" s="4" t="s">
        <v>52</v>
      </c>
      <c r="E7" s="4"/>
      <c r="F7" s="165"/>
      <c r="G7" s="201"/>
      <c r="H7" s="89" t="s">
        <v>94</v>
      </c>
      <c r="I7" s="20">
        <v>4090</v>
      </c>
      <c r="J7" s="36" t="s">
        <v>94</v>
      </c>
      <c r="K7" s="150">
        <v>4961</v>
      </c>
    </row>
    <row r="8" spans="2:11" s="2" customFormat="1" ht="15" x14ac:dyDescent="0.25">
      <c r="B8" s="58" t="s">
        <v>0</v>
      </c>
      <c r="C8" s="5">
        <v>2</v>
      </c>
      <c r="D8" s="172" t="s">
        <v>53</v>
      </c>
      <c r="E8" s="172"/>
      <c r="F8" s="192">
        <v>0.3</v>
      </c>
      <c r="G8" s="200" t="s">
        <v>101</v>
      </c>
      <c r="H8" s="173" t="s">
        <v>94</v>
      </c>
      <c r="I8" s="126">
        <f>ROUND(I7*(1+F8),2)</f>
        <v>5317</v>
      </c>
      <c r="J8" s="174" t="s">
        <v>94</v>
      </c>
      <c r="K8" s="128">
        <f>ROUND(K7*(1+F8),2)</f>
        <v>6449.3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67</v>
      </c>
      <c r="H9" s="89" t="s">
        <v>94</v>
      </c>
      <c r="I9" s="20">
        <f>ROUND(I8/F9,2)</f>
        <v>1227.94</v>
      </c>
      <c r="J9" s="36" t="s">
        <v>94</v>
      </c>
      <c r="K9" s="150">
        <f>ROUND(K8/F9,2)</f>
        <v>1489.45</v>
      </c>
    </row>
    <row r="10" spans="2:11" s="2" customFormat="1" x14ac:dyDescent="0.25">
      <c r="B10" s="3" t="s">
        <v>0</v>
      </c>
      <c r="C10" s="5">
        <v>4</v>
      </c>
      <c r="D10" s="28" t="s">
        <v>96</v>
      </c>
      <c r="E10" s="28"/>
      <c r="F10" s="162">
        <v>40</v>
      </c>
      <c r="G10" s="202" t="s">
        <v>68</v>
      </c>
      <c r="H10" s="93" t="s">
        <v>94</v>
      </c>
      <c r="I10" s="75">
        <f>ROUND(I9/F10,2)</f>
        <v>30.7</v>
      </c>
      <c r="J10" s="74" t="s">
        <v>94</v>
      </c>
      <c r="K10" s="94">
        <f>ROUND(K9/F10,2)</f>
        <v>37.24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69</v>
      </c>
      <c r="H12" s="93" t="s">
        <v>94</v>
      </c>
      <c r="I12" s="75">
        <f>ROUND($I$8*F12,2)</f>
        <v>1160.7</v>
      </c>
      <c r="J12" s="74" t="s">
        <v>94</v>
      </c>
      <c r="K12" s="94">
        <f>ROUND($K$8*F12,2)</f>
        <v>1407.88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70</v>
      </c>
      <c r="H13" s="93" t="s">
        <v>94</v>
      </c>
      <c r="I13" s="75">
        <f>ROUND($I$8*F13,2)</f>
        <v>239.27</v>
      </c>
      <c r="J13" s="74" t="s">
        <v>94</v>
      </c>
      <c r="K13" s="94">
        <f>ROUND($K$8*F13,2)</f>
        <v>290.22000000000003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71</v>
      </c>
      <c r="H14" s="93" t="s">
        <v>94</v>
      </c>
      <c r="I14" s="75">
        <f>ROUND($I$8*F14,2)</f>
        <v>159.51</v>
      </c>
      <c r="J14" s="74" t="s">
        <v>94</v>
      </c>
      <c r="K14" s="94">
        <f>ROUND($K$8*F14,2)</f>
        <v>193.48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72</v>
      </c>
      <c r="H15" s="93" t="s">
        <v>94</v>
      </c>
      <c r="I15" s="75">
        <f>ROUND($I$8*F15,2)</f>
        <v>81.349999999999994</v>
      </c>
      <c r="J15" s="74" t="s">
        <v>94</v>
      </c>
      <c r="K15" s="94">
        <f>ROUND($K$8*F15,2)</f>
        <v>98.67</v>
      </c>
    </row>
    <row r="16" spans="2:11" s="2" customFormat="1" x14ac:dyDescent="0.25">
      <c r="B16" s="3"/>
      <c r="C16" s="5">
        <v>10</v>
      </c>
      <c r="D16" s="31" t="s">
        <v>90</v>
      </c>
      <c r="E16" s="31"/>
      <c r="F16" s="176">
        <f>SUM(F12:F15)</f>
        <v>0.30859999999999999</v>
      </c>
      <c r="G16" s="204" t="s">
        <v>73</v>
      </c>
      <c r="H16" s="125" t="s">
        <v>94</v>
      </c>
      <c r="I16" s="132">
        <f>ROUND($I$8*F16,2)</f>
        <v>1640.83</v>
      </c>
      <c r="J16" s="127" t="s">
        <v>94</v>
      </c>
      <c r="K16" s="133">
        <f>ROUND($K$8*F16,2)</f>
        <v>1990.25</v>
      </c>
    </row>
    <row r="17" spans="2:11" s="2" customFormat="1" x14ac:dyDescent="0.25">
      <c r="B17" s="175" t="s">
        <v>54</v>
      </c>
      <c r="C17" s="18"/>
      <c r="D17" s="177" t="s">
        <v>92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55</v>
      </c>
      <c r="C18" s="5">
        <v>11</v>
      </c>
      <c r="D18" s="28" t="s">
        <v>90</v>
      </c>
      <c r="E18" s="28"/>
      <c r="F18" s="166">
        <f>F16-0.94%</f>
        <v>0.29920000000000002</v>
      </c>
      <c r="G18" s="203" t="s">
        <v>74</v>
      </c>
      <c r="H18" s="93" t="s">
        <v>94</v>
      </c>
      <c r="I18" s="75">
        <f>ROUND($I$8*F18,2)</f>
        <v>1590.85</v>
      </c>
      <c r="J18" s="74" t="s">
        <v>94</v>
      </c>
      <c r="K18" s="94">
        <f>ROUND($K$8*F18,2)</f>
        <v>1929.63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56</v>
      </c>
      <c r="E20" s="50"/>
      <c r="F20" s="168"/>
      <c r="G20" s="207" t="s">
        <v>75</v>
      </c>
      <c r="H20" s="121" t="s">
        <v>94</v>
      </c>
      <c r="I20" s="52">
        <f>ROUND((I8+I18)*2,2)</f>
        <v>13815.7</v>
      </c>
      <c r="J20" s="51" t="s">
        <v>94</v>
      </c>
      <c r="K20" s="122">
        <f>ROUND((K8+K18)*2,2)</f>
        <v>16757.86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97</v>
      </c>
      <c r="E22" s="64"/>
      <c r="F22" s="161"/>
      <c r="G22" s="209" t="s">
        <v>104</v>
      </c>
      <c r="H22" s="123"/>
      <c r="I22" s="66">
        <f>ROUND(((I8+I16)*12+I20)/12,2)</f>
        <v>8109.14</v>
      </c>
      <c r="J22" s="65"/>
      <c r="K22" s="124">
        <f>ROUND(((K8+K16)*12+K20)/12,2)</f>
        <v>9836.0400000000009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76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151</v>
      </c>
      <c r="E26" s="28"/>
      <c r="F26" s="193">
        <v>14</v>
      </c>
      <c r="G26" s="202"/>
      <c r="H26" s="93"/>
      <c r="I26" s="75">
        <f>F26</f>
        <v>14</v>
      </c>
      <c r="J26" s="74"/>
      <c r="K26" s="94">
        <f>F26</f>
        <v>14</v>
      </c>
    </row>
    <row r="27" spans="2:11" s="2" customFormat="1" ht="15" x14ac:dyDescent="0.25">
      <c r="B27" s="3"/>
      <c r="C27" s="5">
        <v>17</v>
      </c>
      <c r="D27" s="29" t="s">
        <v>11</v>
      </c>
      <c r="E27" s="29"/>
      <c r="F27" s="163"/>
      <c r="G27" s="202" t="s">
        <v>102</v>
      </c>
      <c r="H27" s="93"/>
      <c r="I27" s="76">
        <f>ROUND(I24-I25-I26,2)</f>
        <v>247</v>
      </c>
      <c r="J27" s="74"/>
      <c r="K27" s="95">
        <f>ROUND(K24-K25-K26,2)</f>
        <v>247</v>
      </c>
    </row>
    <row r="28" spans="2:11" s="2" customFormat="1" x14ac:dyDescent="0.25">
      <c r="B28" s="3"/>
      <c r="C28" s="5">
        <v>18</v>
      </c>
      <c r="D28" s="28" t="s">
        <v>12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131</v>
      </c>
      <c r="D29" s="28" t="s">
        <v>133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130</v>
      </c>
      <c r="D30" s="28" t="s">
        <v>132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13</v>
      </c>
      <c r="E31" s="29"/>
      <c r="F31" s="163"/>
      <c r="G31" s="202" t="s">
        <v>77</v>
      </c>
      <c r="H31" s="93"/>
      <c r="I31" s="76">
        <f>ROUND(I27-I28-I29-I30,2)</f>
        <v>209.5</v>
      </c>
      <c r="J31" s="74"/>
      <c r="K31" s="95">
        <f>ROUND(K27-K28-K29-K30,2)</f>
        <v>209.5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14</v>
      </c>
      <c r="C33" s="5">
        <v>21</v>
      </c>
      <c r="D33" s="32" t="s">
        <v>15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42</v>
      </c>
      <c r="E34" s="28"/>
      <c r="F34" s="162"/>
      <c r="G34" s="202" t="s">
        <v>78</v>
      </c>
      <c r="H34" s="93"/>
      <c r="I34" s="75">
        <f>ROUND(I31*I33,2)</f>
        <v>1676</v>
      </c>
      <c r="J34" s="74"/>
      <c r="K34" s="94">
        <f>ROUND(K31*K33,2)</f>
        <v>1676</v>
      </c>
    </row>
    <row r="35" spans="2:11" s="2" customFormat="1" ht="15.75" thickBot="1" x14ac:dyDescent="0.3">
      <c r="B35" s="3"/>
      <c r="C35" s="5">
        <v>23</v>
      </c>
      <c r="D35" s="28" t="s">
        <v>43</v>
      </c>
      <c r="E35" s="31"/>
      <c r="F35" s="157"/>
      <c r="G35" s="204" t="s">
        <v>79</v>
      </c>
      <c r="H35" s="125"/>
      <c r="I35" s="126">
        <f>ROUND(I34/12,2)</f>
        <v>139.66999999999999</v>
      </c>
      <c r="J35" s="127"/>
      <c r="K35" s="128">
        <f>ROUND(K31/K24*30.4167*8,2)</f>
        <v>139.66999999999999</v>
      </c>
    </row>
    <row r="36" spans="2:11" s="2" customFormat="1" ht="12.75" customHeight="1" thickBot="1" x14ac:dyDescent="0.3">
      <c r="B36" s="3"/>
      <c r="C36" s="5"/>
      <c r="D36" s="31"/>
      <c r="E36" s="12" t="s">
        <v>93</v>
      </c>
      <c r="F36" s="152" t="s">
        <v>62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16</v>
      </c>
      <c r="C37" s="5">
        <v>24</v>
      </c>
      <c r="D37" s="32" t="s">
        <v>63</v>
      </c>
      <c r="E37" s="131">
        <v>20</v>
      </c>
      <c r="F37" s="194">
        <v>12</v>
      </c>
      <c r="G37" s="203" t="s">
        <v>105</v>
      </c>
      <c r="H37" s="93"/>
      <c r="I37" s="75">
        <f t="shared" ref="I37:I42" si="0">ROUND(F37*$I$33,2)</f>
        <v>96</v>
      </c>
      <c r="J37" s="74"/>
      <c r="K37" s="94">
        <f t="shared" ref="K37:K42" si="1">ROUND(F37*$K$33,2)</f>
        <v>96</v>
      </c>
    </row>
    <row r="38" spans="2:11" s="2" customFormat="1" x14ac:dyDescent="0.25">
      <c r="B38" s="17" t="s">
        <v>41</v>
      </c>
      <c r="C38" s="5">
        <v>25</v>
      </c>
      <c r="D38" s="28" t="s">
        <v>17</v>
      </c>
      <c r="E38" s="30">
        <v>2</v>
      </c>
      <c r="F38" s="193">
        <v>2</v>
      </c>
      <c r="G38" s="203" t="s">
        <v>106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18</v>
      </c>
      <c r="E39" s="30">
        <v>4</v>
      </c>
      <c r="F39" s="193">
        <v>2</v>
      </c>
      <c r="G39" s="203" t="s">
        <v>107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19</v>
      </c>
      <c r="E40" s="30">
        <v>20</v>
      </c>
      <c r="F40" s="193">
        <v>12</v>
      </c>
      <c r="G40" s="203" t="s">
        <v>108</v>
      </c>
      <c r="H40" s="93"/>
      <c r="I40" s="75">
        <f t="shared" si="0"/>
        <v>96</v>
      </c>
      <c r="J40" s="74"/>
      <c r="K40" s="94">
        <f t="shared" si="1"/>
        <v>96</v>
      </c>
    </row>
    <row r="41" spans="2:11" s="2" customFormat="1" x14ac:dyDescent="0.25">
      <c r="B41" s="3"/>
      <c r="C41" s="5">
        <v>28</v>
      </c>
      <c r="D41" s="28" t="s">
        <v>112</v>
      </c>
      <c r="E41" s="30">
        <v>5</v>
      </c>
      <c r="F41" s="193">
        <v>3</v>
      </c>
      <c r="G41" s="203" t="s">
        <v>109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20</v>
      </c>
      <c r="E42" s="30">
        <v>10</v>
      </c>
      <c r="F42" s="193">
        <v>5</v>
      </c>
      <c r="G42" s="203" t="s">
        <v>110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24</v>
      </c>
      <c r="E43" s="30">
        <v>30</v>
      </c>
      <c r="F43" s="193">
        <v>20</v>
      </c>
      <c r="G43" s="203" t="s">
        <v>111</v>
      </c>
      <c r="H43" s="93"/>
      <c r="I43" s="75">
        <f>ROUND(F43*$I$33,2)</f>
        <v>160</v>
      </c>
      <c r="J43" s="74"/>
      <c r="K43" s="75">
        <f>ROUND(F43*$K$33,2)</f>
        <v>160</v>
      </c>
    </row>
    <row r="44" spans="2:11" s="2" customFormat="1" ht="15" x14ac:dyDescent="0.25">
      <c r="B44" s="3"/>
      <c r="C44" s="5">
        <v>31</v>
      </c>
      <c r="D44" s="28" t="s">
        <v>45</v>
      </c>
      <c r="E44" s="28"/>
      <c r="F44" s="156">
        <f>I44/I34</f>
        <v>0.26729999999999998</v>
      </c>
      <c r="G44" s="203" t="s">
        <v>91</v>
      </c>
      <c r="H44" s="93"/>
      <c r="I44" s="75">
        <f>ROUND(SUM(I37:I43),2)</f>
        <v>448</v>
      </c>
      <c r="J44" s="74"/>
      <c r="K44" s="94">
        <f>ROUND(SUM(K37:K43),2)</f>
        <v>448</v>
      </c>
    </row>
    <row r="45" spans="2:11" s="2" customFormat="1" ht="15" x14ac:dyDescent="0.25">
      <c r="B45" s="3"/>
      <c r="C45" s="5">
        <v>32</v>
      </c>
      <c r="D45" s="28" t="s">
        <v>46</v>
      </c>
      <c r="E45" s="28"/>
      <c r="F45" s="156">
        <f>F44</f>
        <v>0.26729999999999998</v>
      </c>
      <c r="G45" s="203" t="s">
        <v>103</v>
      </c>
      <c r="H45" s="93"/>
      <c r="I45" s="76">
        <f>ROUND(F45*I35,2)</f>
        <v>37.33</v>
      </c>
      <c r="J45" s="74"/>
      <c r="K45" s="95">
        <f>ROUND(F45*K35,2)</f>
        <v>37.33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21</v>
      </c>
      <c r="C47" s="5">
        <v>33</v>
      </c>
      <c r="D47" s="32" t="s">
        <v>22</v>
      </c>
      <c r="E47" s="32"/>
      <c r="F47" s="158"/>
      <c r="G47" s="210" t="s">
        <v>80</v>
      </c>
      <c r="H47" s="134"/>
      <c r="I47" s="135">
        <f>ROUND(I34-I44,2)</f>
        <v>1228</v>
      </c>
      <c r="J47" s="136"/>
      <c r="K47" s="140">
        <f>ROUND(K34-K44,2)</f>
        <v>1228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44</v>
      </c>
      <c r="E48" s="4"/>
      <c r="F48" s="159"/>
      <c r="G48" s="198" t="s">
        <v>81</v>
      </c>
      <c r="H48" s="91"/>
      <c r="I48" s="21">
        <f>ROUND(I35-I45,2)</f>
        <v>102.34</v>
      </c>
      <c r="J48" s="37"/>
      <c r="K48" s="96">
        <f>ROUND(K35-K45,2)</f>
        <v>102.34</v>
      </c>
    </row>
    <row r="49" spans="2:14" s="2" customFormat="1" ht="18.75" customHeight="1" x14ac:dyDescent="0.25">
      <c r="B49" s="187" t="s">
        <v>23</v>
      </c>
      <c r="C49" s="188">
        <v>35</v>
      </c>
      <c r="D49" s="189" t="s">
        <v>47</v>
      </c>
      <c r="E49" s="190"/>
      <c r="F49" s="191"/>
      <c r="G49" s="212" t="s">
        <v>82</v>
      </c>
      <c r="H49" s="110" t="s">
        <v>94</v>
      </c>
      <c r="I49" s="107">
        <f>ROUND(I22/I48,2)</f>
        <v>79.239999999999995</v>
      </c>
      <c r="J49" s="111" t="s">
        <v>94</v>
      </c>
      <c r="K49" s="109">
        <f>ROUND(K22/K48,2)</f>
        <v>96.11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48</v>
      </c>
      <c r="C52" s="84"/>
      <c r="D52" s="79"/>
      <c r="E52" s="79"/>
      <c r="F52" s="85"/>
      <c r="G52" s="222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25</v>
      </c>
      <c r="C54" s="8"/>
      <c r="D54" s="8" t="s">
        <v>0</v>
      </c>
      <c r="E54" s="7"/>
      <c r="F54" s="59"/>
      <c r="G54" s="223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26</v>
      </c>
      <c r="C55" s="4"/>
      <c r="D55" s="6"/>
      <c r="E55" s="12" t="s">
        <v>93</v>
      </c>
      <c r="F55" s="152" t="s">
        <v>61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95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32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27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28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29</v>
      </c>
      <c r="E60" s="24">
        <v>0.1</v>
      </c>
      <c r="F60" s="196">
        <v>0.1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57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30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33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34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35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31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36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114</v>
      </c>
      <c r="C68" s="4">
        <v>48</v>
      </c>
      <c r="D68" s="28" t="s">
        <v>115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49</v>
      </c>
      <c r="E69" s="54">
        <f>SUM(E56:E68)</f>
        <v>0.75</v>
      </c>
      <c r="F69" s="153">
        <f>SUM(F56:F68)</f>
        <v>0.75</v>
      </c>
      <c r="G69" s="213" t="s">
        <v>83</v>
      </c>
      <c r="H69" s="170" t="s">
        <v>94</v>
      </c>
      <c r="I69" s="56">
        <f>ROUND(F69*I49,2)</f>
        <v>59.43</v>
      </c>
      <c r="J69" s="55"/>
      <c r="K69" s="171">
        <f>ROUND(F69*K49,2)</f>
        <v>72.08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39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37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113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38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50</v>
      </c>
      <c r="E76" s="145">
        <f>SUM(E72:E75)</f>
        <v>0.14000000000000001</v>
      </c>
      <c r="F76" s="155">
        <f>SUM(F72:F75)</f>
        <v>0.14000000000000001</v>
      </c>
      <c r="G76" s="218" t="s">
        <v>84</v>
      </c>
      <c r="H76" s="146" t="s">
        <v>94</v>
      </c>
      <c r="I76" s="147">
        <f>ROUND(F76*I49,2)</f>
        <v>11.09</v>
      </c>
      <c r="J76" s="148"/>
      <c r="K76" s="149">
        <f>ROUND(F76*K49,2)</f>
        <v>13.46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51</v>
      </c>
      <c r="E78" s="145">
        <f>E76+E69</f>
        <v>0.89</v>
      </c>
      <c r="F78" s="155">
        <f>F76+F69</f>
        <v>0.89</v>
      </c>
      <c r="G78" s="218" t="s">
        <v>85</v>
      </c>
      <c r="H78" s="146" t="s">
        <v>94</v>
      </c>
      <c r="I78" s="147">
        <f>ROUND(F78*I49,2)</f>
        <v>70.52</v>
      </c>
      <c r="J78" s="148"/>
      <c r="K78" s="149">
        <f>ROUND(F78*K49,2)</f>
        <v>85.54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99</v>
      </c>
      <c r="C80" s="79"/>
      <c r="D80" s="80"/>
      <c r="E80" s="79"/>
      <c r="F80" s="169"/>
      <c r="G80" s="219" t="s">
        <v>86</v>
      </c>
      <c r="H80" s="102" t="s">
        <v>94</v>
      </c>
      <c r="I80" s="81">
        <f>ROUND(I49+I78,2)</f>
        <v>149.76</v>
      </c>
      <c r="J80" s="82"/>
      <c r="K80" s="103">
        <f>ROUND(K49+K78,2)</f>
        <v>181.65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58</v>
      </c>
      <c r="C82" s="190"/>
      <c r="D82" s="189"/>
      <c r="E82" s="190"/>
      <c r="F82" s="191"/>
      <c r="G82" s="212" t="s">
        <v>88</v>
      </c>
      <c r="H82" s="106" t="s">
        <v>94</v>
      </c>
      <c r="I82" s="107">
        <f>ROUND(I80*I48,2)</f>
        <v>15326.44</v>
      </c>
      <c r="J82" s="224"/>
      <c r="K82" s="109">
        <f>ROUND(K80*K48,2)</f>
        <v>18590.060000000001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59</v>
      </c>
      <c r="C84" s="26"/>
      <c r="D84" s="27"/>
      <c r="E84" s="26"/>
      <c r="F84" s="160"/>
      <c r="G84" s="220" t="s">
        <v>87</v>
      </c>
      <c r="H84" s="104" t="s">
        <v>94</v>
      </c>
      <c r="I84" s="97">
        <f>ROUND(I80*I47,2)</f>
        <v>183905.28</v>
      </c>
      <c r="J84" s="226"/>
      <c r="K84" s="98">
        <f>ROUND(K80*K47,2)</f>
        <v>223066.2</v>
      </c>
    </row>
    <row r="85" spans="2:11" x14ac:dyDescent="0.2">
      <c r="B85" s="229"/>
    </row>
    <row r="86" spans="2:11" ht="3.75" customHeight="1" x14ac:dyDescent="0.2"/>
    <row r="87" spans="2:11" x14ac:dyDescent="0.2">
      <c r="B87" s="221" t="s">
        <v>138</v>
      </c>
      <c r="D87" s="221" t="s">
        <v>137</v>
      </c>
      <c r="E87" s="33" t="s">
        <v>89</v>
      </c>
      <c r="F87" s="73"/>
      <c r="G87" s="33" t="s">
        <v>125</v>
      </c>
    </row>
    <row r="88" spans="2:11" ht="3" customHeight="1" x14ac:dyDescent="0.2">
      <c r="E88" s="33"/>
    </row>
    <row r="89" spans="2:11" ht="36.75" customHeight="1" x14ac:dyDescent="0.2">
      <c r="B89" s="235" t="s">
        <v>134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Q89"/>
  <sheetViews>
    <sheetView showGridLines="0" view="pageBreakPreview" topLeftCell="A10" zoomScaleNormal="85" zoomScaleSheetLayoutView="100" zoomScalePageLayoutView="70" workbookViewId="0">
      <selection activeCell="D27" sqref="D27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120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121</v>
      </c>
      <c r="C3" s="231"/>
      <c r="D3" s="231"/>
      <c r="E3" s="72" t="s">
        <v>127</v>
      </c>
      <c r="F3" s="232" t="s">
        <v>139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145</v>
      </c>
      <c r="I5" s="239"/>
      <c r="J5" s="236" t="s">
        <v>146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64</v>
      </c>
      <c r="G6" s="198" t="s">
        <v>100</v>
      </c>
      <c r="H6" s="87"/>
      <c r="I6" s="67" t="s">
        <v>66</v>
      </c>
      <c r="J6" s="35"/>
      <c r="K6" s="88" t="s">
        <v>65</v>
      </c>
    </row>
    <row r="7" spans="2:11" s="2" customFormat="1" ht="15" x14ac:dyDescent="0.25">
      <c r="B7" s="58" t="s">
        <v>40</v>
      </c>
      <c r="C7" s="5">
        <v>1</v>
      </c>
      <c r="D7" s="4" t="s">
        <v>52</v>
      </c>
      <c r="E7" s="4"/>
      <c r="F7" s="165"/>
      <c r="G7" s="201"/>
      <c r="H7" s="89" t="s">
        <v>94</v>
      </c>
      <c r="I7" s="20">
        <v>3426</v>
      </c>
      <c r="J7" s="36" t="s">
        <v>94</v>
      </c>
      <c r="K7" s="150">
        <v>4078</v>
      </c>
    </row>
    <row r="8" spans="2:11" s="2" customFormat="1" ht="15" x14ac:dyDescent="0.25">
      <c r="B8" s="58" t="s">
        <v>0</v>
      </c>
      <c r="C8" s="5">
        <v>2</v>
      </c>
      <c r="D8" s="172" t="s">
        <v>53</v>
      </c>
      <c r="E8" s="172"/>
      <c r="F8" s="192">
        <v>0.3</v>
      </c>
      <c r="G8" s="200" t="s">
        <v>101</v>
      </c>
      <c r="H8" s="173" t="s">
        <v>94</v>
      </c>
      <c r="I8" s="126">
        <f>ROUND(I7*(1+F8),2)</f>
        <v>4453.8</v>
      </c>
      <c r="J8" s="174" t="s">
        <v>94</v>
      </c>
      <c r="K8" s="128">
        <f>ROUND(K7*(1+F8),)</f>
        <v>5301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67</v>
      </c>
      <c r="H9" s="89" t="s">
        <v>94</v>
      </c>
      <c r="I9" s="20">
        <f>ROUND(I8/F9,2)</f>
        <v>1028.5899999999999</v>
      </c>
      <c r="J9" s="36" t="s">
        <v>94</v>
      </c>
      <c r="K9" s="150">
        <f>ROUND(K8/F9,2)</f>
        <v>1224.25</v>
      </c>
    </row>
    <row r="10" spans="2:11" s="2" customFormat="1" x14ac:dyDescent="0.25">
      <c r="B10" s="3" t="s">
        <v>0</v>
      </c>
      <c r="C10" s="5">
        <v>4</v>
      </c>
      <c r="D10" s="28" t="s">
        <v>96</v>
      </c>
      <c r="E10" s="28"/>
      <c r="F10" s="162">
        <v>40</v>
      </c>
      <c r="G10" s="202" t="s">
        <v>68</v>
      </c>
      <c r="H10" s="93" t="s">
        <v>94</v>
      </c>
      <c r="I10" s="75">
        <f>ROUND(I9/F10,2)</f>
        <v>25.71</v>
      </c>
      <c r="J10" s="74" t="s">
        <v>94</v>
      </c>
      <c r="K10" s="94">
        <f>ROUND(K9/F10,2)</f>
        <v>30.61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69</v>
      </c>
      <c r="H12" s="93" t="s">
        <v>94</v>
      </c>
      <c r="I12" s="75">
        <f>ROUND($I$8*F12,2)</f>
        <v>972.26</v>
      </c>
      <c r="J12" s="74" t="s">
        <v>94</v>
      </c>
      <c r="K12" s="94">
        <f>ROUND($K$8*F12,2)</f>
        <v>1157.21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70</v>
      </c>
      <c r="H13" s="93" t="s">
        <v>94</v>
      </c>
      <c r="I13" s="75">
        <f>ROUND($I$8*F13,2)</f>
        <v>200.42</v>
      </c>
      <c r="J13" s="74" t="s">
        <v>94</v>
      </c>
      <c r="K13" s="94">
        <f>ROUND($K$8*F13,2)</f>
        <v>238.55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71</v>
      </c>
      <c r="H14" s="93" t="s">
        <v>94</v>
      </c>
      <c r="I14" s="75">
        <f>ROUND($I$8*F14,2)</f>
        <v>133.61000000000001</v>
      </c>
      <c r="J14" s="74" t="s">
        <v>94</v>
      </c>
      <c r="K14" s="94">
        <f>ROUND($K$8*F14,2)</f>
        <v>159.03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72</v>
      </c>
      <c r="H15" s="93" t="s">
        <v>94</v>
      </c>
      <c r="I15" s="75">
        <f>ROUND($I$8*F15,2)</f>
        <v>68.14</v>
      </c>
      <c r="J15" s="74" t="s">
        <v>94</v>
      </c>
      <c r="K15" s="94">
        <f>ROUND($K$8*F15,2)</f>
        <v>81.11</v>
      </c>
    </row>
    <row r="16" spans="2:11" s="2" customFormat="1" x14ac:dyDescent="0.25">
      <c r="B16" s="3"/>
      <c r="C16" s="5">
        <v>10</v>
      </c>
      <c r="D16" s="31" t="s">
        <v>90</v>
      </c>
      <c r="E16" s="31"/>
      <c r="F16" s="176">
        <f>SUM(F12:F15)</f>
        <v>0.30859999999999999</v>
      </c>
      <c r="G16" s="204" t="s">
        <v>73</v>
      </c>
      <c r="H16" s="125" t="s">
        <v>94</v>
      </c>
      <c r="I16" s="132">
        <f>ROUND($I$8*F16,2)</f>
        <v>1374.44</v>
      </c>
      <c r="J16" s="127" t="s">
        <v>94</v>
      </c>
      <c r="K16" s="133">
        <f>ROUND($K$8*F16,2)</f>
        <v>1635.89</v>
      </c>
    </row>
    <row r="17" spans="2:11" s="2" customFormat="1" x14ac:dyDescent="0.25">
      <c r="B17" s="175" t="s">
        <v>54</v>
      </c>
      <c r="C17" s="18"/>
      <c r="D17" s="177" t="s">
        <v>92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55</v>
      </c>
      <c r="C18" s="5">
        <v>11</v>
      </c>
      <c r="D18" s="28" t="s">
        <v>90</v>
      </c>
      <c r="E18" s="28"/>
      <c r="F18" s="166">
        <f>F16-0.94%</f>
        <v>0.29920000000000002</v>
      </c>
      <c r="G18" s="203" t="s">
        <v>74</v>
      </c>
      <c r="H18" s="93" t="s">
        <v>94</v>
      </c>
      <c r="I18" s="75">
        <f>ROUND($I$8*F18,2)</f>
        <v>1332.58</v>
      </c>
      <c r="J18" s="74" t="s">
        <v>94</v>
      </c>
      <c r="K18" s="94">
        <f>ROUND($K$8*F18,2)</f>
        <v>1586.06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56</v>
      </c>
      <c r="E20" s="50"/>
      <c r="F20" s="168"/>
      <c r="G20" s="207" t="s">
        <v>75</v>
      </c>
      <c r="H20" s="121" t="s">
        <v>94</v>
      </c>
      <c r="I20" s="52">
        <f>ROUND((I8+I18)*2,2)</f>
        <v>11572.76</v>
      </c>
      <c r="J20" s="51" t="s">
        <v>94</v>
      </c>
      <c r="K20" s="122">
        <f>ROUND((K8+K18)*2,2)</f>
        <v>13774.12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97</v>
      </c>
      <c r="E22" s="64"/>
      <c r="F22" s="161"/>
      <c r="G22" s="209" t="s">
        <v>104</v>
      </c>
      <c r="H22" s="123"/>
      <c r="I22" s="66">
        <f>ROUND(((I8+I16)*12+I20)/12,2)</f>
        <v>6792.64</v>
      </c>
      <c r="J22" s="65"/>
      <c r="K22" s="124">
        <f>ROUND(((K8+K16)*12+K20)/12,2)</f>
        <v>8084.73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76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151</v>
      </c>
      <c r="E26" s="28"/>
      <c r="F26" s="193">
        <v>14</v>
      </c>
      <c r="G26" s="202"/>
      <c r="H26" s="93"/>
      <c r="I26" s="75">
        <f>F26</f>
        <v>14</v>
      </c>
      <c r="J26" s="74"/>
      <c r="K26" s="94">
        <f>F26</f>
        <v>14</v>
      </c>
    </row>
    <row r="27" spans="2:11" s="2" customFormat="1" ht="15" x14ac:dyDescent="0.25">
      <c r="B27" s="3"/>
      <c r="C27" s="5">
        <v>17</v>
      </c>
      <c r="D27" s="29" t="s">
        <v>11</v>
      </c>
      <c r="E27" s="29"/>
      <c r="F27" s="163"/>
      <c r="G27" s="202" t="s">
        <v>102</v>
      </c>
      <c r="H27" s="93"/>
      <c r="I27" s="76">
        <f>ROUND(I24-I25-I26,2)</f>
        <v>247</v>
      </c>
      <c r="J27" s="74"/>
      <c r="K27" s="95">
        <f>ROUND(K24-K25-K26,2)</f>
        <v>247</v>
      </c>
    </row>
    <row r="28" spans="2:11" s="2" customFormat="1" x14ac:dyDescent="0.25">
      <c r="B28" s="3"/>
      <c r="C28" s="5">
        <v>18</v>
      </c>
      <c r="D28" s="28" t="s">
        <v>12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131</v>
      </c>
      <c r="D29" s="28" t="s">
        <v>133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130</v>
      </c>
      <c r="D30" s="28" t="s">
        <v>132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13</v>
      </c>
      <c r="E31" s="29"/>
      <c r="F31" s="163"/>
      <c r="G31" s="202" t="s">
        <v>77</v>
      </c>
      <c r="H31" s="93"/>
      <c r="I31" s="76">
        <f>ROUND(I27-I28-I29-I30,2)</f>
        <v>209.5</v>
      </c>
      <c r="J31" s="74"/>
      <c r="K31" s="95">
        <f>ROUND(K27-K28-K29-K30,2)</f>
        <v>209.5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14</v>
      </c>
      <c r="C33" s="5">
        <v>21</v>
      </c>
      <c r="D33" s="32" t="s">
        <v>15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42</v>
      </c>
      <c r="E34" s="28"/>
      <c r="F34" s="162"/>
      <c r="G34" s="202" t="s">
        <v>78</v>
      </c>
      <c r="H34" s="93"/>
      <c r="I34" s="75">
        <f>ROUND(I31*I33,2)</f>
        <v>1676</v>
      </c>
      <c r="J34" s="74"/>
      <c r="K34" s="94">
        <f>ROUND(K31*K33,2)</f>
        <v>1676</v>
      </c>
    </row>
    <row r="35" spans="2:11" s="2" customFormat="1" ht="15.75" thickBot="1" x14ac:dyDescent="0.3">
      <c r="B35" s="3"/>
      <c r="C35" s="5">
        <v>23</v>
      </c>
      <c r="D35" s="28" t="s">
        <v>43</v>
      </c>
      <c r="E35" s="31"/>
      <c r="F35" s="157"/>
      <c r="G35" s="204" t="s">
        <v>79</v>
      </c>
      <c r="H35" s="125"/>
      <c r="I35" s="126">
        <f>ROUND(I34/12,2)</f>
        <v>139.66999999999999</v>
      </c>
      <c r="J35" s="127"/>
      <c r="K35" s="128">
        <f>ROUND(K31/K24*30.4167*8,2)</f>
        <v>139.66999999999999</v>
      </c>
    </row>
    <row r="36" spans="2:11" s="2" customFormat="1" ht="12.75" customHeight="1" thickBot="1" x14ac:dyDescent="0.3">
      <c r="B36" s="3"/>
      <c r="C36" s="5"/>
      <c r="D36" s="31"/>
      <c r="E36" s="12" t="s">
        <v>93</v>
      </c>
      <c r="F36" s="152" t="s">
        <v>62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16</v>
      </c>
      <c r="C37" s="5">
        <v>24</v>
      </c>
      <c r="D37" s="32" t="s">
        <v>63</v>
      </c>
      <c r="E37" s="131">
        <v>12</v>
      </c>
      <c r="F37" s="194">
        <v>12</v>
      </c>
      <c r="G37" s="203" t="s">
        <v>105</v>
      </c>
      <c r="H37" s="93"/>
      <c r="I37" s="75">
        <f t="shared" ref="I37:I43" si="0">ROUND(F37*$I$33,2)</f>
        <v>96</v>
      </c>
      <c r="J37" s="74"/>
      <c r="K37" s="94">
        <f t="shared" ref="K37:K43" si="1">ROUND(F37*$K$33,2)</f>
        <v>96</v>
      </c>
    </row>
    <row r="38" spans="2:11" s="2" customFormat="1" x14ac:dyDescent="0.25">
      <c r="B38" s="17" t="s">
        <v>41</v>
      </c>
      <c r="C38" s="5">
        <v>25</v>
      </c>
      <c r="D38" s="28" t="s">
        <v>17</v>
      </c>
      <c r="E38" s="30">
        <v>2</v>
      </c>
      <c r="F38" s="193">
        <v>2</v>
      </c>
      <c r="G38" s="203" t="s">
        <v>106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18</v>
      </c>
      <c r="E39" s="30">
        <v>2</v>
      </c>
      <c r="F39" s="193">
        <v>2</v>
      </c>
      <c r="G39" s="203" t="s">
        <v>107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19</v>
      </c>
      <c r="E40" s="30">
        <v>12</v>
      </c>
      <c r="F40" s="193">
        <v>12</v>
      </c>
      <c r="G40" s="203" t="s">
        <v>108</v>
      </c>
      <c r="H40" s="93"/>
      <c r="I40" s="75">
        <f>ROUND(F40*$I$33,2)</f>
        <v>96</v>
      </c>
      <c r="J40" s="74"/>
      <c r="K40" s="94">
        <f t="shared" si="1"/>
        <v>96</v>
      </c>
    </row>
    <row r="41" spans="2:11" s="2" customFormat="1" x14ac:dyDescent="0.25">
      <c r="B41" s="3"/>
      <c r="C41" s="5">
        <v>28</v>
      </c>
      <c r="D41" s="28" t="s">
        <v>112</v>
      </c>
      <c r="E41" s="30">
        <v>3</v>
      </c>
      <c r="F41" s="193">
        <v>3</v>
      </c>
      <c r="G41" s="203" t="s">
        <v>109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20</v>
      </c>
      <c r="E42" s="30">
        <v>5</v>
      </c>
      <c r="F42" s="193">
        <v>5</v>
      </c>
      <c r="G42" s="203" t="s">
        <v>110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24</v>
      </c>
      <c r="E43" s="30">
        <v>20</v>
      </c>
      <c r="F43" s="193">
        <v>20</v>
      </c>
      <c r="G43" s="203" t="s">
        <v>111</v>
      </c>
      <c r="H43" s="93"/>
      <c r="I43" s="75">
        <f t="shared" si="0"/>
        <v>160</v>
      </c>
      <c r="J43" s="74"/>
      <c r="K43" s="94">
        <f t="shared" si="1"/>
        <v>160</v>
      </c>
    </row>
    <row r="44" spans="2:11" s="2" customFormat="1" ht="15" x14ac:dyDescent="0.25">
      <c r="B44" s="3"/>
      <c r="C44" s="5">
        <v>31</v>
      </c>
      <c r="D44" s="28" t="s">
        <v>45</v>
      </c>
      <c r="E44" s="28"/>
      <c r="F44" s="156">
        <f>I44/I34</f>
        <v>0.26729999999999998</v>
      </c>
      <c r="G44" s="203" t="s">
        <v>91</v>
      </c>
      <c r="H44" s="93"/>
      <c r="I44" s="75">
        <f>ROUND(SUM(I37:I43),2)</f>
        <v>448</v>
      </c>
      <c r="J44" s="74"/>
      <c r="K44" s="94">
        <f>ROUND(SUM(K37:K43),3)</f>
        <v>448</v>
      </c>
    </row>
    <row r="45" spans="2:11" s="2" customFormat="1" ht="15" x14ac:dyDescent="0.25">
      <c r="B45" s="3"/>
      <c r="C45" s="5">
        <v>32</v>
      </c>
      <c r="D45" s="28" t="s">
        <v>46</v>
      </c>
      <c r="E45" s="28"/>
      <c r="F45" s="156">
        <f>F44</f>
        <v>0.26729999999999998</v>
      </c>
      <c r="G45" s="203" t="s">
        <v>103</v>
      </c>
      <c r="H45" s="93"/>
      <c r="I45" s="76">
        <f>ROUND(F45*I35,2)</f>
        <v>37.33</v>
      </c>
      <c r="J45" s="74"/>
      <c r="K45" s="95">
        <f>ROUND(F45*K35,2)</f>
        <v>37.33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21</v>
      </c>
      <c r="C47" s="5">
        <v>33</v>
      </c>
      <c r="D47" s="32" t="s">
        <v>22</v>
      </c>
      <c r="E47" s="32"/>
      <c r="F47" s="158"/>
      <c r="G47" s="210" t="s">
        <v>80</v>
      </c>
      <c r="H47" s="134"/>
      <c r="I47" s="135">
        <f>ROUND(I34-I44,2)</f>
        <v>1228</v>
      </c>
      <c r="J47" s="136"/>
      <c r="K47" s="140">
        <f>ROUND(K34-K44,2)</f>
        <v>1228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44</v>
      </c>
      <c r="E48" s="4"/>
      <c r="F48" s="159"/>
      <c r="G48" s="198" t="s">
        <v>81</v>
      </c>
      <c r="H48" s="91"/>
      <c r="I48" s="21">
        <f>ROUND(I35-I45,2)</f>
        <v>102.34</v>
      </c>
      <c r="J48" s="37"/>
      <c r="K48" s="96">
        <f>ROUND(K35-K45,2)</f>
        <v>102.34</v>
      </c>
    </row>
    <row r="49" spans="2:14" s="2" customFormat="1" ht="18.75" customHeight="1" x14ac:dyDescent="0.25">
      <c r="B49" s="187" t="s">
        <v>23</v>
      </c>
      <c r="C49" s="188">
        <v>35</v>
      </c>
      <c r="D49" s="189" t="s">
        <v>47</v>
      </c>
      <c r="E49" s="190"/>
      <c r="F49" s="191"/>
      <c r="G49" s="212" t="s">
        <v>82</v>
      </c>
      <c r="H49" s="110" t="s">
        <v>94</v>
      </c>
      <c r="I49" s="107">
        <f>ROUND(I22/I48,2)</f>
        <v>66.37</v>
      </c>
      <c r="J49" s="111" t="s">
        <v>94</v>
      </c>
      <c r="K49" s="109">
        <f>ROUND(K22/K48,2)</f>
        <v>79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48</v>
      </c>
      <c r="C52" s="84"/>
      <c r="D52" s="79"/>
      <c r="E52" s="79"/>
      <c r="F52" s="85"/>
      <c r="G52" s="222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25</v>
      </c>
      <c r="C54" s="8"/>
      <c r="D54" s="8" t="s">
        <v>0</v>
      </c>
      <c r="E54" s="7"/>
      <c r="F54" s="59"/>
      <c r="G54" s="223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26</v>
      </c>
      <c r="C55" s="4"/>
      <c r="D55" s="6"/>
      <c r="E55" s="12" t="s">
        <v>93</v>
      </c>
      <c r="F55" s="152" t="s">
        <v>61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95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32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27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28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29</v>
      </c>
      <c r="E60" s="24">
        <v>0.03</v>
      </c>
      <c r="F60" s="196">
        <v>0.03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57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30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33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34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35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31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36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114</v>
      </c>
      <c r="C68" s="4">
        <v>48</v>
      </c>
      <c r="D68" s="28" t="s">
        <v>115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49</v>
      </c>
      <c r="E69" s="54">
        <f>SUM(E56:E68)</f>
        <v>0.68</v>
      </c>
      <c r="F69" s="153">
        <f>SUM(F56:F68)</f>
        <v>0.68</v>
      </c>
      <c r="G69" s="213" t="s">
        <v>83</v>
      </c>
      <c r="H69" s="170" t="s">
        <v>94</v>
      </c>
      <c r="I69" s="56">
        <f>ROUND(F69*I49,2)</f>
        <v>45.13</v>
      </c>
      <c r="J69" s="55"/>
      <c r="K69" s="171">
        <f>ROUND(F69*K49,2)</f>
        <v>53.72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39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37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113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38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50</v>
      </c>
      <c r="E76" s="145">
        <f>SUM(E72:E75)</f>
        <v>0.14000000000000001</v>
      </c>
      <c r="F76" s="155">
        <f>SUM(F72:F75)</f>
        <v>0.14000000000000001</v>
      </c>
      <c r="G76" s="218" t="s">
        <v>84</v>
      </c>
      <c r="H76" s="146" t="s">
        <v>94</v>
      </c>
      <c r="I76" s="147">
        <f>ROUND(F76*I49,2)</f>
        <v>9.2899999999999991</v>
      </c>
      <c r="J76" s="148"/>
      <c r="K76" s="149">
        <f>ROUND(F76*K49,2)</f>
        <v>11.06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51</v>
      </c>
      <c r="E78" s="145">
        <f>E76+E69</f>
        <v>0.82</v>
      </c>
      <c r="F78" s="155">
        <f>F76+F69</f>
        <v>0.82</v>
      </c>
      <c r="G78" s="218" t="s">
        <v>85</v>
      </c>
      <c r="H78" s="146" t="s">
        <v>94</v>
      </c>
      <c r="I78" s="147">
        <f>ROUND(F78*I49,2)</f>
        <v>54.42</v>
      </c>
      <c r="J78" s="148"/>
      <c r="K78" s="149">
        <f>ROUND(F78*K49,2)</f>
        <v>64.78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99</v>
      </c>
      <c r="C80" s="79"/>
      <c r="D80" s="80"/>
      <c r="E80" s="79"/>
      <c r="F80" s="169"/>
      <c r="G80" s="219" t="s">
        <v>86</v>
      </c>
      <c r="H80" s="102" t="s">
        <v>94</v>
      </c>
      <c r="I80" s="81">
        <f>ROUND(I49+I78,2)</f>
        <v>120.79</v>
      </c>
      <c r="J80" s="82"/>
      <c r="K80" s="103">
        <f>ROUND(K49+K78,2)</f>
        <v>143.78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58</v>
      </c>
      <c r="C82" s="190"/>
      <c r="D82" s="189"/>
      <c r="E82" s="190"/>
      <c r="F82" s="191"/>
      <c r="G82" s="212" t="s">
        <v>88</v>
      </c>
      <c r="H82" s="106" t="s">
        <v>94</v>
      </c>
      <c r="I82" s="107">
        <f>ROUND(I80*I48,2)</f>
        <v>12361.65</v>
      </c>
      <c r="J82" s="224"/>
      <c r="K82" s="109">
        <f>ROUND(K80*K48,2)</f>
        <v>14714.45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59</v>
      </c>
      <c r="C84" s="26"/>
      <c r="D84" s="27"/>
      <c r="E84" s="26"/>
      <c r="F84" s="160"/>
      <c r="G84" s="220" t="s">
        <v>87</v>
      </c>
      <c r="H84" s="104" t="s">
        <v>94</v>
      </c>
      <c r="I84" s="97">
        <f>ROUND(I80*I47,2)</f>
        <v>148330.12</v>
      </c>
      <c r="J84" s="226"/>
      <c r="K84" s="98">
        <f>ROUND(K80*K47,2)</f>
        <v>176561.84</v>
      </c>
    </row>
    <row r="85" spans="2:11" x14ac:dyDescent="0.2">
      <c r="B85" s="229"/>
    </row>
    <row r="86" spans="2:11" ht="3.75" customHeight="1" x14ac:dyDescent="0.2"/>
    <row r="87" spans="2:11" x14ac:dyDescent="0.2">
      <c r="B87" s="221" t="s">
        <v>140</v>
      </c>
      <c r="D87" s="221" t="s">
        <v>137</v>
      </c>
      <c r="E87" s="33" t="s">
        <v>89</v>
      </c>
      <c r="F87" s="73"/>
      <c r="G87" s="33" t="s">
        <v>125</v>
      </c>
    </row>
    <row r="88" spans="2:11" ht="3" customHeight="1" x14ac:dyDescent="0.2">
      <c r="E88" s="33"/>
    </row>
    <row r="89" spans="2:11" ht="36.75" customHeight="1" x14ac:dyDescent="0.2">
      <c r="B89" s="235" t="s">
        <v>134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Q89"/>
  <sheetViews>
    <sheetView showGridLines="0" view="pageBreakPreview" zoomScale="112" zoomScaleNormal="85" zoomScaleSheetLayoutView="112" zoomScalePageLayoutView="70" workbookViewId="0">
      <selection activeCell="D27" sqref="D27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118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119</v>
      </c>
      <c r="C3" s="231"/>
      <c r="D3" s="231"/>
      <c r="E3" s="72" t="s">
        <v>128</v>
      </c>
      <c r="F3" s="232" t="s">
        <v>141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147</v>
      </c>
      <c r="I5" s="239"/>
      <c r="J5" s="236" t="s">
        <v>148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64</v>
      </c>
      <c r="G6" s="198" t="s">
        <v>100</v>
      </c>
      <c r="H6" s="87"/>
      <c r="I6" s="67" t="s">
        <v>66</v>
      </c>
      <c r="J6" s="35"/>
      <c r="K6" s="88" t="s">
        <v>65</v>
      </c>
    </row>
    <row r="7" spans="2:11" s="2" customFormat="1" ht="15" x14ac:dyDescent="0.25">
      <c r="B7" s="58" t="s">
        <v>40</v>
      </c>
      <c r="C7" s="5">
        <v>1</v>
      </c>
      <c r="D7" s="4" t="s">
        <v>52</v>
      </c>
      <c r="E7" s="4"/>
      <c r="F7" s="165"/>
      <c r="G7" s="201"/>
      <c r="H7" s="89" t="s">
        <v>94</v>
      </c>
      <c r="I7" s="20">
        <v>2574</v>
      </c>
      <c r="J7" s="36" t="s">
        <v>94</v>
      </c>
      <c r="K7" s="150">
        <v>3296</v>
      </c>
    </row>
    <row r="8" spans="2:11" s="2" customFormat="1" ht="15" x14ac:dyDescent="0.25">
      <c r="B8" s="58" t="s">
        <v>0</v>
      </c>
      <c r="C8" s="5">
        <v>2</v>
      </c>
      <c r="D8" s="172" t="s">
        <v>53</v>
      </c>
      <c r="E8" s="172"/>
      <c r="F8" s="192">
        <v>0.3</v>
      </c>
      <c r="G8" s="200" t="s">
        <v>101</v>
      </c>
      <c r="H8" s="173" t="s">
        <v>94</v>
      </c>
      <c r="I8" s="126">
        <f>ROUND(I7*(1+F8),2)</f>
        <v>3346.2</v>
      </c>
      <c r="J8" s="174" t="s">
        <v>94</v>
      </c>
      <c r="K8" s="128">
        <f>ROUND(K7*(1+F8),2)</f>
        <v>4284.8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67</v>
      </c>
      <c r="H9" s="89" t="s">
        <v>94</v>
      </c>
      <c r="I9" s="20">
        <f>ROUND(I8/F9,2)</f>
        <v>772.79</v>
      </c>
      <c r="J9" s="36" t="s">
        <v>94</v>
      </c>
      <c r="K9" s="150">
        <f>ROUND(K8/F9,2)</f>
        <v>989.56</v>
      </c>
    </row>
    <row r="10" spans="2:11" s="2" customFormat="1" x14ac:dyDescent="0.25">
      <c r="B10" s="3" t="s">
        <v>0</v>
      </c>
      <c r="C10" s="5">
        <v>4</v>
      </c>
      <c r="D10" s="28" t="s">
        <v>96</v>
      </c>
      <c r="E10" s="28"/>
      <c r="F10" s="162">
        <v>40</v>
      </c>
      <c r="G10" s="202" t="s">
        <v>68</v>
      </c>
      <c r="H10" s="93" t="s">
        <v>94</v>
      </c>
      <c r="I10" s="75">
        <f>ROUND(I9/F10,2)</f>
        <v>19.32</v>
      </c>
      <c r="J10" s="74" t="s">
        <v>94</v>
      </c>
      <c r="K10" s="94">
        <f>ROUND(K9/F10,2)</f>
        <v>24.74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69</v>
      </c>
      <c r="H12" s="93" t="s">
        <v>94</v>
      </c>
      <c r="I12" s="75">
        <f>ROUND($I$8*F12,2)</f>
        <v>730.48</v>
      </c>
      <c r="J12" s="74" t="s">
        <v>94</v>
      </c>
      <c r="K12" s="94">
        <f>ROUND($K$8*F12,2)</f>
        <v>935.37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70</v>
      </c>
      <c r="H13" s="93" t="s">
        <v>94</v>
      </c>
      <c r="I13" s="75">
        <f>ROUND($I$8*F13,2)</f>
        <v>150.58000000000001</v>
      </c>
      <c r="J13" s="74" t="s">
        <v>94</v>
      </c>
      <c r="K13" s="94">
        <f>ROUND($K$8*F13,2)</f>
        <v>192.82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71</v>
      </c>
      <c r="H14" s="93" t="s">
        <v>94</v>
      </c>
      <c r="I14" s="75">
        <f>ROUND($I$8*F14,2)</f>
        <v>100.39</v>
      </c>
      <c r="J14" s="74" t="s">
        <v>94</v>
      </c>
      <c r="K14" s="94">
        <f>ROUND($K$8*F14,2)</f>
        <v>128.54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72</v>
      </c>
      <c r="H15" s="93" t="s">
        <v>94</v>
      </c>
      <c r="I15" s="75">
        <f>ROUND($I$8*F15,2)</f>
        <v>51.2</v>
      </c>
      <c r="J15" s="74" t="s">
        <v>94</v>
      </c>
      <c r="K15" s="94">
        <f>ROUND($K$8*F15,2)</f>
        <v>65.56</v>
      </c>
    </row>
    <row r="16" spans="2:11" s="2" customFormat="1" x14ac:dyDescent="0.25">
      <c r="B16" s="3"/>
      <c r="C16" s="5">
        <v>10</v>
      </c>
      <c r="D16" s="31" t="s">
        <v>90</v>
      </c>
      <c r="E16" s="31"/>
      <c r="F16" s="176">
        <f>SUM(F12:F15)</f>
        <v>0.30859999999999999</v>
      </c>
      <c r="G16" s="204" t="s">
        <v>73</v>
      </c>
      <c r="H16" s="125" t="s">
        <v>94</v>
      </c>
      <c r="I16" s="132">
        <f>ROUND($I$8*F16,2)</f>
        <v>1032.6400000000001</v>
      </c>
      <c r="J16" s="127" t="s">
        <v>94</v>
      </c>
      <c r="K16" s="133">
        <f>ROUND($K$8*F16,2)</f>
        <v>1322.29</v>
      </c>
    </row>
    <row r="17" spans="2:11" s="2" customFormat="1" x14ac:dyDescent="0.25">
      <c r="B17" s="175" t="s">
        <v>54</v>
      </c>
      <c r="C17" s="18"/>
      <c r="D17" s="177" t="s">
        <v>92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55</v>
      </c>
      <c r="C18" s="5">
        <v>11</v>
      </c>
      <c r="D18" s="28" t="s">
        <v>90</v>
      </c>
      <c r="E18" s="28"/>
      <c r="F18" s="166">
        <f>F16-0.94%</f>
        <v>0.29920000000000002</v>
      </c>
      <c r="G18" s="203" t="s">
        <v>74</v>
      </c>
      <c r="H18" s="93" t="s">
        <v>94</v>
      </c>
      <c r="I18" s="75">
        <f>ROUND($I$8*F18,2)</f>
        <v>1001.18</v>
      </c>
      <c r="J18" s="74" t="s">
        <v>94</v>
      </c>
      <c r="K18" s="94">
        <f>ROUND($K$8*F18,2)</f>
        <v>1282.01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56</v>
      </c>
      <c r="E20" s="50"/>
      <c r="F20" s="168"/>
      <c r="G20" s="207" t="s">
        <v>75</v>
      </c>
      <c r="H20" s="121" t="s">
        <v>94</v>
      </c>
      <c r="I20" s="52">
        <f>ROUND((I8+I18)*2,2)</f>
        <v>8694.76</v>
      </c>
      <c r="J20" s="51" t="s">
        <v>94</v>
      </c>
      <c r="K20" s="122">
        <f>ROUND((K8+K18)*2,2)</f>
        <v>11133.62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97</v>
      </c>
      <c r="E22" s="64"/>
      <c r="F22" s="161"/>
      <c r="G22" s="209" t="s">
        <v>104</v>
      </c>
      <c r="H22" s="123"/>
      <c r="I22" s="66">
        <f>ROUND(((I8+I16)*12+I20)/12,2)</f>
        <v>5103.3999999999996</v>
      </c>
      <c r="J22" s="65"/>
      <c r="K22" s="124">
        <f>ROUND(((K8+K16)*12+K20)/12,2)</f>
        <v>6534.89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76</v>
      </c>
      <c r="H25" s="93"/>
      <c r="I25" s="75">
        <f>ROUND(F25*2,2)</f>
        <v>104</v>
      </c>
      <c r="J25" s="74"/>
      <c r="K25" s="94">
        <f>ROUND(F25*2,2)</f>
        <v>104</v>
      </c>
    </row>
    <row r="26" spans="2:11" s="2" customFormat="1" x14ac:dyDescent="0.25">
      <c r="B26" s="3"/>
      <c r="C26" s="5">
        <v>16</v>
      </c>
      <c r="D26" s="28" t="s">
        <v>151</v>
      </c>
      <c r="E26" s="28"/>
      <c r="F26" s="193">
        <v>14</v>
      </c>
      <c r="G26" s="202"/>
      <c r="H26" s="93"/>
      <c r="I26" s="75">
        <f>F26</f>
        <v>14</v>
      </c>
      <c r="J26" s="74"/>
      <c r="K26" s="94">
        <f>F26</f>
        <v>14</v>
      </c>
    </row>
    <row r="27" spans="2:11" s="2" customFormat="1" ht="15" x14ac:dyDescent="0.25">
      <c r="B27" s="3"/>
      <c r="C27" s="5">
        <v>17</v>
      </c>
      <c r="D27" s="29" t="s">
        <v>11</v>
      </c>
      <c r="E27" s="29"/>
      <c r="F27" s="163"/>
      <c r="G27" s="202" t="s">
        <v>102</v>
      </c>
      <c r="H27" s="93"/>
      <c r="I27" s="76">
        <f>ROUND(I24-I25-I26,2)</f>
        <v>247</v>
      </c>
      <c r="J27" s="74"/>
      <c r="K27" s="95">
        <f>ROUND(K24-K25-K26,2)</f>
        <v>247</v>
      </c>
    </row>
    <row r="28" spans="2:11" s="2" customFormat="1" x14ac:dyDescent="0.25">
      <c r="B28" s="3"/>
      <c r="C28" s="5">
        <v>18</v>
      </c>
      <c r="D28" s="28" t="s">
        <v>12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131</v>
      </c>
      <c r="D29" s="28" t="s">
        <v>133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130</v>
      </c>
      <c r="D30" s="28" t="s">
        <v>132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13</v>
      </c>
      <c r="E31" s="29"/>
      <c r="F31" s="163"/>
      <c r="G31" s="202" t="s">
        <v>77</v>
      </c>
      <c r="H31" s="93"/>
      <c r="I31" s="76">
        <f>I27-I28-I29-I30</f>
        <v>209.5</v>
      </c>
      <c r="J31" s="74"/>
      <c r="K31" s="95">
        <f>ROUND(K27-K28-K29-K30,2)</f>
        <v>209.5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14</v>
      </c>
      <c r="C33" s="5">
        <v>21</v>
      </c>
      <c r="D33" s="32" t="s">
        <v>15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42</v>
      </c>
      <c r="E34" s="28"/>
      <c r="F34" s="162"/>
      <c r="G34" s="202" t="s">
        <v>78</v>
      </c>
      <c r="H34" s="93"/>
      <c r="I34" s="75">
        <f>ROUND(I31*I33,2)</f>
        <v>1676</v>
      </c>
      <c r="J34" s="74"/>
      <c r="K34" s="94">
        <f>ROUND(K31*K33,2)</f>
        <v>1676</v>
      </c>
    </row>
    <row r="35" spans="2:11" s="2" customFormat="1" ht="15.75" thickBot="1" x14ac:dyDescent="0.3">
      <c r="B35" s="3"/>
      <c r="C35" s="5">
        <v>23</v>
      </c>
      <c r="D35" s="28" t="s">
        <v>43</v>
      </c>
      <c r="E35" s="31"/>
      <c r="F35" s="157"/>
      <c r="G35" s="204" t="s">
        <v>79</v>
      </c>
      <c r="H35" s="125"/>
      <c r="I35" s="126">
        <f>ROUND(I34/12,2)</f>
        <v>139.66999999999999</v>
      </c>
      <c r="J35" s="127"/>
      <c r="K35" s="128">
        <f>ROUND(K31/K24*30.4167*8,2)</f>
        <v>139.66999999999999</v>
      </c>
    </row>
    <row r="36" spans="2:11" s="2" customFormat="1" ht="12.75" customHeight="1" thickBot="1" x14ac:dyDescent="0.3">
      <c r="B36" s="3"/>
      <c r="C36" s="5"/>
      <c r="D36" s="31"/>
      <c r="E36" s="12" t="s">
        <v>93</v>
      </c>
      <c r="F36" s="152" t="s">
        <v>62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16</v>
      </c>
      <c r="C37" s="5">
        <v>24</v>
      </c>
      <c r="D37" s="32" t="s">
        <v>63</v>
      </c>
      <c r="E37" s="131">
        <v>12</v>
      </c>
      <c r="F37" s="194">
        <v>12</v>
      </c>
      <c r="G37" s="203" t="s">
        <v>105</v>
      </c>
      <c r="H37" s="93"/>
      <c r="I37" s="75">
        <f t="shared" ref="I37:I43" si="0">ROUND(F37*$I$33,2)</f>
        <v>96</v>
      </c>
      <c r="J37" s="74"/>
      <c r="K37" s="94">
        <f t="shared" ref="K37:K43" si="1">ROUND(F37*$K$33,2)</f>
        <v>96</v>
      </c>
    </row>
    <row r="38" spans="2:11" s="2" customFormat="1" x14ac:dyDescent="0.25">
      <c r="B38" s="17" t="s">
        <v>41</v>
      </c>
      <c r="C38" s="5">
        <v>25</v>
      </c>
      <c r="D38" s="28" t="s">
        <v>17</v>
      </c>
      <c r="E38" s="30">
        <v>2</v>
      </c>
      <c r="F38" s="193">
        <v>2</v>
      </c>
      <c r="G38" s="203" t="s">
        <v>106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18</v>
      </c>
      <c r="E39" s="30">
        <v>2</v>
      </c>
      <c r="F39" s="193">
        <v>2</v>
      </c>
      <c r="G39" s="203" t="s">
        <v>107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19</v>
      </c>
      <c r="E40" s="30">
        <v>12</v>
      </c>
      <c r="F40" s="193">
        <v>12</v>
      </c>
      <c r="G40" s="203" t="s">
        <v>108</v>
      </c>
      <c r="H40" s="93"/>
      <c r="I40" s="75">
        <f t="shared" si="0"/>
        <v>96</v>
      </c>
      <c r="J40" s="74"/>
      <c r="K40" s="94">
        <f t="shared" si="1"/>
        <v>96</v>
      </c>
    </row>
    <row r="41" spans="2:11" s="2" customFormat="1" x14ac:dyDescent="0.25">
      <c r="B41" s="3"/>
      <c r="C41" s="5">
        <v>28</v>
      </c>
      <c r="D41" s="28" t="s">
        <v>112</v>
      </c>
      <c r="E41" s="30">
        <v>3</v>
      </c>
      <c r="F41" s="193">
        <v>3</v>
      </c>
      <c r="G41" s="203" t="s">
        <v>109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20</v>
      </c>
      <c r="E42" s="30">
        <v>5</v>
      </c>
      <c r="F42" s="193">
        <v>5</v>
      </c>
      <c r="G42" s="203" t="s">
        <v>110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24</v>
      </c>
      <c r="E43" s="30">
        <v>20</v>
      </c>
      <c r="F43" s="193">
        <v>20</v>
      </c>
      <c r="G43" s="203" t="s">
        <v>111</v>
      </c>
      <c r="H43" s="93"/>
      <c r="I43" s="75">
        <f t="shared" si="0"/>
        <v>160</v>
      </c>
      <c r="J43" s="74"/>
      <c r="K43" s="94">
        <f t="shared" si="1"/>
        <v>160</v>
      </c>
    </row>
    <row r="44" spans="2:11" s="2" customFormat="1" ht="15" x14ac:dyDescent="0.25">
      <c r="B44" s="3"/>
      <c r="C44" s="5">
        <v>31</v>
      </c>
      <c r="D44" s="28" t="s">
        <v>45</v>
      </c>
      <c r="E44" s="28"/>
      <c r="F44" s="156">
        <f>I44/I34</f>
        <v>0.26729999999999998</v>
      </c>
      <c r="G44" s="203" t="s">
        <v>91</v>
      </c>
      <c r="H44" s="93"/>
      <c r="I44" s="75">
        <f>ROUND(SUM(I37:I43),2)</f>
        <v>448</v>
      </c>
      <c r="J44" s="74"/>
      <c r="K44" s="94">
        <f>ROUND(SUM(K37:K43),2)</f>
        <v>448</v>
      </c>
    </row>
    <row r="45" spans="2:11" s="2" customFormat="1" ht="15" x14ac:dyDescent="0.25">
      <c r="B45" s="3"/>
      <c r="C45" s="5">
        <v>32</v>
      </c>
      <c r="D45" s="28" t="s">
        <v>46</v>
      </c>
      <c r="E45" s="28"/>
      <c r="F45" s="156">
        <f>F44</f>
        <v>0.26729999999999998</v>
      </c>
      <c r="G45" s="203" t="s">
        <v>103</v>
      </c>
      <c r="H45" s="93"/>
      <c r="I45" s="76">
        <f>ROUND(F45*I35,2)</f>
        <v>37.33</v>
      </c>
      <c r="J45" s="74"/>
      <c r="K45" s="95">
        <f>ROUND(F45*K35,2)</f>
        <v>37.33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21</v>
      </c>
      <c r="C47" s="5">
        <v>33</v>
      </c>
      <c r="D47" s="32" t="s">
        <v>22</v>
      </c>
      <c r="E47" s="32"/>
      <c r="F47" s="158"/>
      <c r="G47" s="210" t="s">
        <v>80</v>
      </c>
      <c r="H47" s="134"/>
      <c r="I47" s="135">
        <f>ROUND(I34-I44,2)</f>
        <v>1228</v>
      </c>
      <c r="J47" s="136"/>
      <c r="K47" s="140">
        <f>ROUND(K34-K44,2)</f>
        <v>1228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44</v>
      </c>
      <c r="E48" s="4"/>
      <c r="F48" s="159"/>
      <c r="G48" s="198" t="s">
        <v>81</v>
      </c>
      <c r="H48" s="91"/>
      <c r="I48" s="21">
        <f>ROUND(I35-I45,2)</f>
        <v>102.34</v>
      </c>
      <c r="J48" s="37"/>
      <c r="K48" s="96">
        <f>ROUND(K35-K45,2)</f>
        <v>102.34</v>
      </c>
    </row>
    <row r="49" spans="2:14" s="2" customFormat="1" ht="18.75" customHeight="1" x14ac:dyDescent="0.25">
      <c r="B49" s="187" t="s">
        <v>23</v>
      </c>
      <c r="C49" s="188">
        <v>35</v>
      </c>
      <c r="D49" s="189" t="s">
        <v>47</v>
      </c>
      <c r="E49" s="190"/>
      <c r="F49" s="191"/>
      <c r="G49" s="212" t="s">
        <v>82</v>
      </c>
      <c r="H49" s="110" t="s">
        <v>94</v>
      </c>
      <c r="I49" s="107">
        <f>ROUND(I22/I48,2)</f>
        <v>49.87</v>
      </c>
      <c r="J49" s="111" t="s">
        <v>94</v>
      </c>
      <c r="K49" s="109">
        <f>ROUND(K22/K48,2)</f>
        <v>63.85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48</v>
      </c>
      <c r="C52" s="84"/>
      <c r="D52" s="79"/>
      <c r="E52" s="79"/>
      <c r="F52" s="85"/>
      <c r="G52" s="227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25</v>
      </c>
      <c r="C54" s="8"/>
      <c r="D54" s="8" t="s">
        <v>0</v>
      </c>
      <c r="E54" s="7"/>
      <c r="F54" s="59"/>
      <c r="G54" s="228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26</v>
      </c>
      <c r="C55" s="4"/>
      <c r="D55" s="6"/>
      <c r="E55" s="12" t="s">
        <v>93</v>
      </c>
      <c r="F55" s="152" t="s">
        <v>61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95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32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27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28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29</v>
      </c>
      <c r="E60" s="24">
        <v>0.03</v>
      </c>
      <c r="F60" s="196">
        <v>0.03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57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30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33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34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35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31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36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114</v>
      </c>
      <c r="C68" s="4">
        <v>48</v>
      </c>
      <c r="D68" s="28" t="s">
        <v>115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49</v>
      </c>
      <c r="E69" s="54">
        <f>SUM(E56:E68)</f>
        <v>0.68</v>
      </c>
      <c r="F69" s="153">
        <f>SUM(F56:F68)</f>
        <v>0.68</v>
      </c>
      <c r="G69" s="213" t="s">
        <v>83</v>
      </c>
      <c r="H69" s="170" t="s">
        <v>94</v>
      </c>
      <c r="I69" s="56">
        <f>ROUND(F69*I49,2)</f>
        <v>33.909999999999997</v>
      </c>
      <c r="J69" s="55"/>
      <c r="K69" s="171">
        <f>ROUND(F69*K49,2)</f>
        <v>43.42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39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37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113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38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50</v>
      </c>
      <c r="E76" s="145">
        <f>SUM(E72:E75)</f>
        <v>0.14000000000000001</v>
      </c>
      <c r="F76" s="155">
        <f>SUM(F72:F75)</f>
        <v>0.14000000000000001</v>
      </c>
      <c r="G76" s="218" t="s">
        <v>84</v>
      </c>
      <c r="H76" s="146" t="s">
        <v>94</v>
      </c>
      <c r="I76" s="147">
        <f>ROUND(F76*I49,2)</f>
        <v>6.98</v>
      </c>
      <c r="J76" s="148"/>
      <c r="K76" s="149">
        <f>ROUND(F76*K49,2)</f>
        <v>8.94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51</v>
      </c>
      <c r="E78" s="145">
        <f>E76+E69</f>
        <v>0.82</v>
      </c>
      <c r="F78" s="155">
        <f>F76+F69</f>
        <v>0.82</v>
      </c>
      <c r="G78" s="218" t="s">
        <v>85</v>
      </c>
      <c r="H78" s="146" t="s">
        <v>94</v>
      </c>
      <c r="I78" s="147">
        <f>ROUND(F78*I49,2)</f>
        <v>40.89</v>
      </c>
      <c r="J78" s="148"/>
      <c r="K78" s="149">
        <f>ROUND(F78*K49,2)</f>
        <v>52.36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99</v>
      </c>
      <c r="C80" s="79"/>
      <c r="D80" s="80"/>
      <c r="E80" s="79"/>
      <c r="F80" s="169"/>
      <c r="G80" s="219" t="s">
        <v>86</v>
      </c>
      <c r="H80" s="102" t="s">
        <v>94</v>
      </c>
      <c r="I80" s="81">
        <f>ROUND(I49+I78,2)</f>
        <v>90.76</v>
      </c>
      <c r="J80" s="82"/>
      <c r="K80" s="103">
        <f>ROUND(K49+K78,2)</f>
        <v>116.21</v>
      </c>
    </row>
    <row r="81" spans="2:11" s="2" customFormat="1" ht="5.25" customHeight="1" x14ac:dyDescent="0.25">
      <c r="B81" s="3"/>
      <c r="C81" s="4"/>
      <c r="D81" s="4"/>
      <c r="E81" s="4"/>
      <c r="F81" s="5"/>
      <c r="G81" s="198" t="s">
        <v>0</v>
      </c>
      <c r="H81" s="91"/>
      <c r="I81" s="57"/>
      <c r="J81" s="5"/>
      <c r="K81" s="90"/>
    </row>
    <row r="82" spans="2:11" s="2" customFormat="1" ht="15" x14ac:dyDescent="0.25">
      <c r="B82" s="187" t="s">
        <v>58</v>
      </c>
      <c r="C82" s="190"/>
      <c r="D82" s="189"/>
      <c r="E82" s="190"/>
      <c r="F82" s="191"/>
      <c r="G82" s="212" t="s">
        <v>88</v>
      </c>
      <c r="H82" s="106" t="s">
        <v>94</v>
      </c>
      <c r="I82" s="107">
        <f>ROUND(I80*I48,2)</f>
        <v>9288.3799999999992</v>
      </c>
      <c r="J82" s="224"/>
      <c r="K82" s="109">
        <f>ROUND(K80*K48,2)</f>
        <v>11892.93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59</v>
      </c>
      <c r="C84" s="26"/>
      <c r="D84" s="27"/>
      <c r="E84" s="26"/>
      <c r="F84" s="160"/>
      <c r="G84" s="220" t="s">
        <v>87</v>
      </c>
      <c r="H84" s="104" t="s">
        <v>94</v>
      </c>
      <c r="I84" s="97">
        <f>ROUND(I80*I47,2)</f>
        <v>111453.28</v>
      </c>
      <c r="J84" s="226"/>
      <c r="K84" s="98">
        <f>ROUND(K80*K47,2)</f>
        <v>142705.88</v>
      </c>
    </row>
    <row r="86" spans="2:11" ht="3.75" customHeight="1" x14ac:dyDescent="0.2"/>
    <row r="87" spans="2:11" x14ac:dyDescent="0.2">
      <c r="B87" s="221" t="s">
        <v>138</v>
      </c>
      <c r="D87" s="221" t="s">
        <v>137</v>
      </c>
      <c r="E87" s="33" t="s">
        <v>89</v>
      </c>
      <c r="F87" s="73"/>
      <c r="G87" s="33" t="s">
        <v>125</v>
      </c>
    </row>
    <row r="88" spans="2:11" ht="3" customHeight="1" x14ac:dyDescent="0.2">
      <c r="E88" s="33"/>
    </row>
    <row r="89" spans="2:11" ht="36.75" customHeight="1" x14ac:dyDescent="0.2">
      <c r="B89" s="235" t="s">
        <v>134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mergeCells count="5">
    <mergeCell ref="B3:D3"/>
    <mergeCell ref="F3:K3"/>
    <mergeCell ref="H5:I5"/>
    <mergeCell ref="J5:K5"/>
    <mergeCell ref="B89:K89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Q89"/>
  <sheetViews>
    <sheetView showGridLines="0" tabSelected="1" view="pageBreakPreview" topLeftCell="A13" zoomScale="85" zoomScaleNormal="85" zoomScaleSheetLayoutView="85" zoomScalePageLayoutView="70" workbookViewId="0">
      <selection activeCell="D29" sqref="D29"/>
    </sheetView>
  </sheetViews>
  <sheetFormatPr baseColWidth="10" defaultColWidth="11.42578125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122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30" t="s">
        <v>123</v>
      </c>
      <c r="C3" s="231"/>
      <c r="D3" s="231"/>
      <c r="E3" s="72" t="s">
        <v>129</v>
      </c>
      <c r="F3" s="232" t="s">
        <v>142</v>
      </c>
      <c r="G3" s="233"/>
      <c r="H3" s="233"/>
      <c r="I3" s="233"/>
      <c r="J3" s="233"/>
      <c r="K3" s="234"/>
    </row>
    <row r="4" spans="2:11" ht="7.5" customHeight="1" thickBot="1" x14ac:dyDescent="0.25">
      <c r="B4" s="68"/>
      <c r="C4" s="69"/>
      <c r="D4" s="69"/>
      <c r="E4" s="70"/>
      <c r="F4" s="70"/>
      <c r="G4" s="70"/>
      <c r="H4" s="70"/>
      <c r="I4" s="70"/>
      <c r="J4" s="70"/>
      <c r="K4" s="71"/>
    </row>
    <row r="5" spans="2:11" s="83" customFormat="1" ht="18" customHeight="1" thickTop="1" x14ac:dyDescent="0.25">
      <c r="B5" s="78" t="s">
        <v>7</v>
      </c>
      <c r="C5" s="79"/>
      <c r="D5" s="79"/>
      <c r="E5" s="79"/>
      <c r="F5" s="79"/>
      <c r="G5" s="79"/>
      <c r="H5" s="238" t="s">
        <v>149</v>
      </c>
      <c r="I5" s="239"/>
      <c r="J5" s="236" t="s">
        <v>150</v>
      </c>
      <c r="K5" s="237"/>
    </row>
    <row r="6" spans="2:11" s="2" customFormat="1" ht="15" customHeight="1" x14ac:dyDescent="0.25">
      <c r="B6" s="3"/>
      <c r="C6" s="4"/>
      <c r="D6" s="4"/>
      <c r="E6" s="4"/>
      <c r="F6" s="164" t="s">
        <v>64</v>
      </c>
      <c r="G6" s="198" t="s">
        <v>100</v>
      </c>
      <c r="H6" s="87"/>
      <c r="I6" s="67" t="s">
        <v>66</v>
      </c>
      <c r="J6" s="35"/>
      <c r="K6" s="88" t="s">
        <v>65</v>
      </c>
    </row>
    <row r="7" spans="2:11" s="2" customFormat="1" ht="15" x14ac:dyDescent="0.25">
      <c r="B7" s="58" t="s">
        <v>40</v>
      </c>
      <c r="C7" s="5">
        <v>1</v>
      </c>
      <c r="D7" s="4" t="s">
        <v>52</v>
      </c>
      <c r="E7" s="4"/>
      <c r="F7" s="165"/>
      <c r="G7" s="201"/>
      <c r="H7" s="89" t="s">
        <v>94</v>
      </c>
      <c r="I7" s="20">
        <v>2209</v>
      </c>
      <c r="J7" s="36" t="s">
        <v>94</v>
      </c>
      <c r="K7" s="150">
        <v>2610</v>
      </c>
    </row>
    <row r="8" spans="2:11" s="2" customFormat="1" ht="15" x14ac:dyDescent="0.25">
      <c r="B8" s="58" t="s">
        <v>0</v>
      </c>
      <c r="C8" s="5">
        <v>2</v>
      </c>
      <c r="D8" s="172" t="s">
        <v>53</v>
      </c>
      <c r="E8" s="172"/>
      <c r="F8" s="192">
        <v>0.3</v>
      </c>
      <c r="G8" s="200" t="s">
        <v>101</v>
      </c>
      <c r="H8" s="173" t="s">
        <v>94</v>
      </c>
      <c r="I8" s="126">
        <f>ROUND(I7*(1+F8),2)</f>
        <v>2871.7</v>
      </c>
      <c r="J8" s="174" t="s">
        <v>94</v>
      </c>
      <c r="K8" s="128">
        <f>ROUND(K7*(1+F8),2)</f>
        <v>3393</v>
      </c>
    </row>
    <row r="9" spans="2:11" s="2" customFormat="1" x14ac:dyDescent="0.25">
      <c r="B9" s="175"/>
      <c r="C9" s="38">
        <v>3</v>
      </c>
      <c r="D9" s="18" t="s">
        <v>5</v>
      </c>
      <c r="E9" s="18"/>
      <c r="F9" s="165">
        <v>4.33</v>
      </c>
      <c r="G9" s="201" t="s">
        <v>67</v>
      </c>
      <c r="H9" s="89" t="s">
        <v>94</v>
      </c>
      <c r="I9" s="20">
        <f>ROUND(I8/F9,2)</f>
        <v>663.21</v>
      </c>
      <c r="J9" s="36" t="s">
        <v>94</v>
      </c>
      <c r="K9" s="150">
        <f>ROUND(K8/F9,2)</f>
        <v>783.6</v>
      </c>
    </row>
    <row r="10" spans="2:11" s="2" customFormat="1" x14ac:dyDescent="0.25">
      <c r="B10" s="3" t="s">
        <v>0</v>
      </c>
      <c r="C10" s="5">
        <v>4</v>
      </c>
      <c r="D10" s="28" t="s">
        <v>96</v>
      </c>
      <c r="E10" s="28"/>
      <c r="F10" s="162">
        <v>40</v>
      </c>
      <c r="G10" s="202" t="s">
        <v>68</v>
      </c>
      <c r="H10" s="93" t="s">
        <v>94</v>
      </c>
      <c r="I10" s="75">
        <f>ROUND(I9/F10,2)</f>
        <v>16.579999999999998</v>
      </c>
      <c r="J10" s="74" t="s">
        <v>94</v>
      </c>
      <c r="K10" s="94">
        <f>ROUND(K9/F10,2)</f>
        <v>19.59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2"/>
      <c r="G11" s="202"/>
      <c r="H11" s="93"/>
      <c r="I11" s="75"/>
      <c r="J11" s="74"/>
      <c r="K11" s="94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6">
        <v>0.21829999999999999</v>
      </c>
      <c r="G12" s="203" t="s">
        <v>69</v>
      </c>
      <c r="H12" s="93" t="s">
        <v>94</v>
      </c>
      <c r="I12" s="75">
        <f>ROUND($I$8*F12,2)</f>
        <v>626.89</v>
      </c>
      <c r="J12" s="74" t="s">
        <v>94</v>
      </c>
      <c r="K12" s="94">
        <f>ROUND($K$8*F12,2)</f>
        <v>740.69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6">
        <v>4.4999999999999998E-2</v>
      </c>
      <c r="G13" s="203" t="s">
        <v>70</v>
      </c>
      <c r="H13" s="93" t="s">
        <v>94</v>
      </c>
      <c r="I13" s="75">
        <f>ROUND($I$8*F13,2)</f>
        <v>129.22999999999999</v>
      </c>
      <c r="J13" s="74" t="s">
        <v>94</v>
      </c>
      <c r="K13" s="94">
        <f>ROUND($K$8*F13,2)</f>
        <v>152.69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6">
        <v>0.03</v>
      </c>
      <c r="G14" s="203" t="s">
        <v>71</v>
      </c>
      <c r="H14" s="93" t="s">
        <v>94</v>
      </c>
      <c r="I14" s="75">
        <f>ROUND($I$8*F14,2)</f>
        <v>86.15</v>
      </c>
      <c r="J14" s="74" t="s">
        <v>94</v>
      </c>
      <c r="K14" s="94">
        <f>ROUND($K$8*F14,2)</f>
        <v>101.79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6">
        <v>1.5299999999999999E-2</v>
      </c>
      <c r="G15" s="203" t="s">
        <v>72</v>
      </c>
      <c r="H15" s="93" t="s">
        <v>94</v>
      </c>
      <c r="I15" s="75">
        <f>ROUND($I$8*F15,2)</f>
        <v>43.94</v>
      </c>
      <c r="J15" s="74" t="s">
        <v>94</v>
      </c>
      <c r="K15" s="94">
        <f>ROUND($K$8*F15,2)</f>
        <v>51.91</v>
      </c>
    </row>
    <row r="16" spans="2:11" s="2" customFormat="1" x14ac:dyDescent="0.25">
      <c r="B16" s="3"/>
      <c r="C16" s="5">
        <v>10</v>
      </c>
      <c r="D16" s="31" t="s">
        <v>90</v>
      </c>
      <c r="E16" s="31"/>
      <c r="F16" s="176">
        <f>SUM(F12:F15)</f>
        <v>0.30859999999999999</v>
      </c>
      <c r="G16" s="204" t="s">
        <v>73</v>
      </c>
      <c r="H16" s="125" t="s">
        <v>94</v>
      </c>
      <c r="I16" s="132">
        <f>ROUND($I$8*F16,2)</f>
        <v>886.21</v>
      </c>
      <c r="J16" s="127" t="s">
        <v>94</v>
      </c>
      <c r="K16" s="133">
        <f>ROUND($K$8*F16,2)</f>
        <v>1047.08</v>
      </c>
    </row>
    <row r="17" spans="2:11" s="2" customFormat="1" x14ac:dyDescent="0.25">
      <c r="B17" s="175" t="s">
        <v>54</v>
      </c>
      <c r="C17" s="18"/>
      <c r="D17" s="177" t="s">
        <v>92</v>
      </c>
      <c r="E17" s="178"/>
      <c r="F17" s="179"/>
      <c r="G17" s="205"/>
      <c r="H17" s="180"/>
      <c r="I17" s="181"/>
      <c r="J17" s="182"/>
      <c r="K17" s="183"/>
    </row>
    <row r="18" spans="2:11" s="2" customFormat="1" x14ac:dyDescent="0.25">
      <c r="B18" s="23" t="s">
        <v>55</v>
      </c>
      <c r="C18" s="5">
        <v>11</v>
      </c>
      <c r="D18" s="28" t="s">
        <v>90</v>
      </c>
      <c r="E18" s="28"/>
      <c r="F18" s="166">
        <f>F16-0.94%</f>
        <v>0.29920000000000002</v>
      </c>
      <c r="G18" s="203" t="s">
        <v>74</v>
      </c>
      <c r="H18" s="93" t="s">
        <v>94</v>
      </c>
      <c r="I18" s="75">
        <f>ROUND($I$8*F18,2)</f>
        <v>859.21</v>
      </c>
      <c r="J18" s="74" t="s">
        <v>94</v>
      </c>
      <c r="K18" s="94">
        <f>ROUND($K$8*F18,2)</f>
        <v>1015.19</v>
      </c>
    </row>
    <row r="19" spans="2:11" s="2" customFormat="1" ht="6" customHeight="1" x14ac:dyDescent="0.25">
      <c r="B19" s="3"/>
      <c r="C19" s="4"/>
      <c r="D19" s="4"/>
      <c r="E19" s="4"/>
      <c r="F19" s="167"/>
      <c r="G19" s="206"/>
      <c r="H19" s="92"/>
      <c r="I19" s="19"/>
      <c r="J19" s="39"/>
      <c r="K19" s="90"/>
    </row>
    <row r="20" spans="2:11" s="2" customFormat="1" ht="15.75" thickBot="1" x14ac:dyDescent="0.3">
      <c r="B20" s="47" t="s">
        <v>0</v>
      </c>
      <c r="C20" s="48">
        <v>12</v>
      </c>
      <c r="D20" s="49" t="s">
        <v>56</v>
      </c>
      <c r="E20" s="50"/>
      <c r="F20" s="168"/>
      <c r="G20" s="207" t="s">
        <v>75</v>
      </c>
      <c r="H20" s="121" t="s">
        <v>94</v>
      </c>
      <c r="I20" s="52">
        <f>ROUND((I8+I18)*2,2)</f>
        <v>7461.82</v>
      </c>
      <c r="J20" s="51" t="s">
        <v>94</v>
      </c>
      <c r="K20" s="122">
        <f>ROUND((K8+K18)*2,2)</f>
        <v>8816.3799999999992</v>
      </c>
    </row>
    <row r="21" spans="2:11" s="2" customFormat="1" ht="12.75" customHeight="1" thickBot="1" x14ac:dyDescent="0.3">
      <c r="B21" s="3"/>
      <c r="C21" s="4"/>
      <c r="D21" s="45"/>
      <c r="E21" s="45"/>
      <c r="F21" s="46"/>
      <c r="G21" s="208"/>
      <c r="H21" s="91"/>
      <c r="I21" s="57"/>
      <c r="J21" s="5"/>
      <c r="K21" s="151"/>
    </row>
    <row r="22" spans="2:11" s="2" customFormat="1" ht="18" customHeight="1" x14ac:dyDescent="0.25">
      <c r="B22" s="61" t="s">
        <v>6</v>
      </c>
      <c r="C22" s="62">
        <v>13</v>
      </c>
      <c r="D22" s="63" t="s">
        <v>97</v>
      </c>
      <c r="E22" s="64"/>
      <c r="F22" s="161"/>
      <c r="G22" s="209" t="s">
        <v>104</v>
      </c>
      <c r="H22" s="123"/>
      <c r="I22" s="66">
        <f>ROUND(((I8+I16)*12+I20)/12,2)</f>
        <v>4379.7299999999996</v>
      </c>
      <c r="J22" s="65"/>
      <c r="K22" s="124">
        <f>ROUND(((K8+K16)*12+K20)/12,2)</f>
        <v>5174.78</v>
      </c>
    </row>
    <row r="23" spans="2:11" s="2" customFormat="1" ht="6" customHeight="1" x14ac:dyDescent="0.25">
      <c r="B23" s="3"/>
      <c r="C23" s="5"/>
      <c r="D23" s="4"/>
      <c r="E23" s="4"/>
      <c r="F23" s="159"/>
      <c r="G23" s="198"/>
      <c r="H23" s="91"/>
      <c r="I23" s="19"/>
      <c r="J23" s="37"/>
      <c r="K23" s="90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9">
        <v>365</v>
      </c>
      <c r="G24" s="198"/>
      <c r="H24" s="91"/>
      <c r="I24" s="19">
        <v>365</v>
      </c>
      <c r="J24" s="37"/>
      <c r="K24" s="90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2">
        <v>52</v>
      </c>
      <c r="G25" s="202" t="s">
        <v>76</v>
      </c>
      <c r="H25" s="93"/>
      <c r="I25" s="75">
        <f>F25*2</f>
        <v>104</v>
      </c>
      <c r="J25" s="74"/>
      <c r="K25" s="94">
        <f>F25*2</f>
        <v>104</v>
      </c>
    </row>
    <row r="26" spans="2:11" s="2" customFormat="1" x14ac:dyDescent="0.25">
      <c r="B26" s="3"/>
      <c r="C26" s="5">
        <v>16</v>
      </c>
      <c r="D26" s="28" t="s">
        <v>151</v>
      </c>
      <c r="E26" s="28"/>
      <c r="F26" s="193">
        <v>14</v>
      </c>
      <c r="G26" s="202"/>
      <c r="H26" s="93"/>
      <c r="I26" s="75">
        <f>F26</f>
        <v>14</v>
      </c>
      <c r="J26" s="74"/>
      <c r="K26" s="94">
        <f>F26</f>
        <v>14</v>
      </c>
    </row>
    <row r="27" spans="2:11" s="2" customFormat="1" ht="15" x14ac:dyDescent="0.25">
      <c r="B27" s="3"/>
      <c r="C27" s="5">
        <v>17</v>
      </c>
      <c r="D27" s="29" t="s">
        <v>11</v>
      </c>
      <c r="E27" s="29"/>
      <c r="F27" s="163"/>
      <c r="G27" s="202" t="s">
        <v>102</v>
      </c>
      <c r="H27" s="93"/>
      <c r="I27" s="76">
        <f>I24-I25-I26</f>
        <v>247</v>
      </c>
      <c r="J27" s="74"/>
      <c r="K27" s="95">
        <f>K24-K25-K26</f>
        <v>247</v>
      </c>
    </row>
    <row r="28" spans="2:11" s="2" customFormat="1" x14ac:dyDescent="0.25">
      <c r="B28" s="3"/>
      <c r="C28" s="5">
        <v>18</v>
      </c>
      <c r="D28" s="28" t="s">
        <v>12</v>
      </c>
      <c r="E28" s="28"/>
      <c r="F28" s="193">
        <v>25</v>
      </c>
      <c r="G28" s="202"/>
      <c r="H28" s="93"/>
      <c r="I28" s="75">
        <f>F28</f>
        <v>25</v>
      </c>
      <c r="J28" s="74"/>
      <c r="K28" s="94">
        <f>F28</f>
        <v>25</v>
      </c>
    </row>
    <row r="29" spans="2:11" s="2" customFormat="1" x14ac:dyDescent="0.25">
      <c r="B29" s="3"/>
      <c r="C29" s="5" t="s">
        <v>131</v>
      </c>
      <c r="D29" s="28" t="s">
        <v>133</v>
      </c>
      <c r="E29" s="28"/>
      <c r="F29" s="162">
        <v>12.5</v>
      </c>
      <c r="G29" s="202"/>
      <c r="H29" s="93"/>
      <c r="I29" s="75">
        <f>F29</f>
        <v>12.5</v>
      </c>
      <c r="J29" s="74"/>
      <c r="K29" s="94">
        <f>F29</f>
        <v>12.5</v>
      </c>
    </row>
    <row r="30" spans="2:11" s="2" customFormat="1" x14ac:dyDescent="0.25">
      <c r="B30" s="3"/>
      <c r="C30" s="5" t="s">
        <v>130</v>
      </c>
      <c r="D30" s="28" t="s">
        <v>132</v>
      </c>
      <c r="E30" s="28"/>
      <c r="F30" s="193">
        <v>0</v>
      </c>
      <c r="G30" s="202"/>
      <c r="H30" s="93"/>
      <c r="I30" s="75">
        <f>F30</f>
        <v>0</v>
      </c>
      <c r="J30" s="74"/>
      <c r="K30" s="94">
        <f>F30</f>
        <v>0</v>
      </c>
    </row>
    <row r="31" spans="2:11" s="2" customFormat="1" ht="15" x14ac:dyDescent="0.25">
      <c r="B31" s="3"/>
      <c r="C31" s="5">
        <v>20</v>
      </c>
      <c r="D31" s="29" t="s">
        <v>13</v>
      </c>
      <c r="E31" s="29"/>
      <c r="F31" s="163"/>
      <c r="G31" s="202" t="s">
        <v>77</v>
      </c>
      <c r="H31" s="93"/>
      <c r="I31" s="76">
        <f>I27-I28-I29-I30</f>
        <v>209.5</v>
      </c>
      <c r="J31" s="74"/>
      <c r="K31" s="95">
        <f>K27-K28-K29-K30</f>
        <v>209.5</v>
      </c>
    </row>
    <row r="32" spans="2:11" s="2" customFormat="1" ht="9" customHeight="1" x14ac:dyDescent="0.25">
      <c r="B32" s="3"/>
      <c r="C32" s="4"/>
      <c r="D32" s="31"/>
      <c r="E32" s="31"/>
      <c r="F32" s="157"/>
      <c r="G32" s="204"/>
      <c r="H32" s="125"/>
      <c r="I32" s="132"/>
      <c r="J32" s="127"/>
      <c r="K32" s="133"/>
    </row>
    <row r="33" spans="2:11" s="2" customFormat="1" x14ac:dyDescent="0.25">
      <c r="B33" s="3" t="s">
        <v>14</v>
      </c>
      <c r="C33" s="5">
        <v>21</v>
      </c>
      <c r="D33" s="32" t="s">
        <v>15</v>
      </c>
      <c r="E33" s="32"/>
      <c r="F33" s="194">
        <v>8</v>
      </c>
      <c r="G33" s="210"/>
      <c r="H33" s="134"/>
      <c r="I33" s="135">
        <f>F33</f>
        <v>8</v>
      </c>
      <c r="J33" s="136"/>
      <c r="K33" s="137">
        <f>F33</f>
        <v>8</v>
      </c>
    </row>
    <row r="34" spans="2:11" s="2" customFormat="1" x14ac:dyDescent="0.25">
      <c r="B34" s="3"/>
      <c r="C34" s="5">
        <v>22</v>
      </c>
      <c r="D34" s="28" t="s">
        <v>42</v>
      </c>
      <c r="E34" s="28"/>
      <c r="F34" s="162"/>
      <c r="G34" s="202" t="s">
        <v>78</v>
      </c>
      <c r="H34" s="93"/>
      <c r="I34" s="75">
        <f>ROUND(I31*I33,2)</f>
        <v>1676</v>
      </c>
      <c r="J34" s="74"/>
      <c r="K34" s="94">
        <f>ROUND(K31*K33,2)</f>
        <v>1676</v>
      </c>
    </row>
    <row r="35" spans="2:11" s="2" customFormat="1" ht="15.75" thickBot="1" x14ac:dyDescent="0.3">
      <c r="B35" s="3"/>
      <c r="C35" s="5">
        <v>23</v>
      </c>
      <c r="D35" s="28" t="s">
        <v>43</v>
      </c>
      <c r="E35" s="31"/>
      <c r="F35" s="157"/>
      <c r="G35" s="204" t="s">
        <v>79</v>
      </c>
      <c r="H35" s="125"/>
      <c r="I35" s="126">
        <f>ROUND(I34/12,2)</f>
        <v>139.66999999999999</v>
      </c>
      <c r="J35" s="127"/>
      <c r="K35" s="128">
        <f>ROUND(K31/K24*30.4167*8,2)</f>
        <v>139.66999999999999</v>
      </c>
    </row>
    <row r="36" spans="2:11" s="2" customFormat="1" ht="12.75" customHeight="1" thickBot="1" x14ac:dyDescent="0.3">
      <c r="B36" s="3"/>
      <c r="C36" s="5"/>
      <c r="D36" s="31"/>
      <c r="E36" s="12" t="s">
        <v>93</v>
      </c>
      <c r="F36" s="152" t="s">
        <v>62</v>
      </c>
      <c r="G36" s="211"/>
      <c r="H36" s="129"/>
      <c r="I36" s="119"/>
      <c r="J36" s="130"/>
      <c r="K36" s="120"/>
    </row>
    <row r="37" spans="2:11" s="2" customFormat="1" x14ac:dyDescent="0.25">
      <c r="B37" s="3" t="s">
        <v>16</v>
      </c>
      <c r="C37" s="5">
        <v>24</v>
      </c>
      <c r="D37" s="32" t="s">
        <v>63</v>
      </c>
      <c r="E37" s="131">
        <v>8</v>
      </c>
      <c r="F37" s="194">
        <v>8</v>
      </c>
      <c r="G37" s="203" t="s">
        <v>105</v>
      </c>
      <c r="H37" s="93"/>
      <c r="I37" s="75">
        <f t="shared" ref="I37:I43" si="0">ROUND(F37*$I$33,2)</f>
        <v>64</v>
      </c>
      <c r="J37" s="74"/>
      <c r="K37" s="94">
        <f t="shared" ref="K37:K43" si="1">ROUND(F37*$K$33,2)</f>
        <v>64</v>
      </c>
    </row>
    <row r="38" spans="2:11" s="2" customFormat="1" x14ac:dyDescent="0.25">
      <c r="B38" s="17" t="s">
        <v>41</v>
      </c>
      <c r="C38" s="5">
        <v>25</v>
      </c>
      <c r="D38" s="28" t="s">
        <v>17</v>
      </c>
      <c r="E38" s="30">
        <v>2</v>
      </c>
      <c r="F38" s="193">
        <v>2</v>
      </c>
      <c r="G38" s="203" t="s">
        <v>106</v>
      </c>
      <c r="H38" s="93"/>
      <c r="I38" s="75">
        <f t="shared" si="0"/>
        <v>16</v>
      </c>
      <c r="J38" s="74"/>
      <c r="K38" s="94">
        <f t="shared" si="1"/>
        <v>16</v>
      </c>
    </row>
    <row r="39" spans="2:11" s="2" customFormat="1" x14ac:dyDescent="0.25">
      <c r="B39" s="3"/>
      <c r="C39" s="5">
        <v>26</v>
      </c>
      <c r="D39" s="28" t="s">
        <v>18</v>
      </c>
      <c r="E39" s="30">
        <v>2</v>
      </c>
      <c r="F39" s="193">
        <v>2</v>
      </c>
      <c r="G39" s="203" t="s">
        <v>107</v>
      </c>
      <c r="H39" s="93"/>
      <c r="I39" s="75">
        <f t="shared" si="0"/>
        <v>16</v>
      </c>
      <c r="J39" s="74"/>
      <c r="K39" s="94">
        <f t="shared" si="1"/>
        <v>16</v>
      </c>
    </row>
    <row r="40" spans="2:11" s="2" customFormat="1" x14ac:dyDescent="0.25">
      <c r="B40" s="3"/>
      <c r="C40" s="5">
        <v>27</v>
      </c>
      <c r="D40" s="28" t="s">
        <v>19</v>
      </c>
      <c r="E40" s="30">
        <v>8</v>
      </c>
      <c r="F40" s="193">
        <v>8</v>
      </c>
      <c r="G40" s="203" t="s">
        <v>108</v>
      </c>
      <c r="H40" s="93"/>
      <c r="I40" s="75">
        <f t="shared" si="0"/>
        <v>64</v>
      </c>
      <c r="J40" s="74"/>
      <c r="K40" s="94">
        <f t="shared" si="1"/>
        <v>64</v>
      </c>
    </row>
    <row r="41" spans="2:11" s="2" customFormat="1" x14ac:dyDescent="0.25">
      <c r="B41" s="3"/>
      <c r="C41" s="5">
        <v>28</v>
      </c>
      <c r="D41" s="28" t="s">
        <v>112</v>
      </c>
      <c r="E41" s="30">
        <v>3</v>
      </c>
      <c r="F41" s="193">
        <v>3</v>
      </c>
      <c r="G41" s="203" t="s">
        <v>109</v>
      </c>
      <c r="H41" s="93"/>
      <c r="I41" s="75">
        <f t="shared" si="0"/>
        <v>24</v>
      </c>
      <c r="J41" s="74"/>
      <c r="K41" s="94">
        <f t="shared" si="1"/>
        <v>24</v>
      </c>
    </row>
    <row r="42" spans="2:11" s="2" customFormat="1" x14ac:dyDescent="0.25">
      <c r="B42" s="3"/>
      <c r="C42" s="5">
        <v>29</v>
      </c>
      <c r="D42" s="28" t="s">
        <v>20</v>
      </c>
      <c r="E42" s="30">
        <v>5</v>
      </c>
      <c r="F42" s="193">
        <v>5</v>
      </c>
      <c r="G42" s="203" t="s">
        <v>110</v>
      </c>
      <c r="H42" s="93"/>
      <c r="I42" s="75">
        <f t="shared" si="0"/>
        <v>40</v>
      </c>
      <c r="J42" s="74"/>
      <c r="K42" s="94">
        <f t="shared" si="1"/>
        <v>40</v>
      </c>
    </row>
    <row r="43" spans="2:11" s="2" customFormat="1" x14ac:dyDescent="0.25">
      <c r="B43" s="3"/>
      <c r="C43" s="5">
        <v>30</v>
      </c>
      <c r="D43" s="28" t="s">
        <v>24</v>
      </c>
      <c r="E43" s="30">
        <v>10</v>
      </c>
      <c r="F43" s="193">
        <v>10</v>
      </c>
      <c r="G43" s="203" t="s">
        <v>111</v>
      </c>
      <c r="H43" s="93"/>
      <c r="I43" s="75">
        <f t="shared" si="0"/>
        <v>80</v>
      </c>
      <c r="J43" s="74"/>
      <c r="K43" s="94">
        <f t="shared" si="1"/>
        <v>80</v>
      </c>
    </row>
    <row r="44" spans="2:11" s="2" customFormat="1" ht="15" x14ac:dyDescent="0.25">
      <c r="B44" s="3"/>
      <c r="C44" s="5">
        <v>31</v>
      </c>
      <c r="D44" s="28" t="s">
        <v>45</v>
      </c>
      <c r="E44" s="28"/>
      <c r="F44" s="156">
        <f>I44/I34</f>
        <v>0.18140000000000001</v>
      </c>
      <c r="G44" s="203" t="s">
        <v>91</v>
      </c>
      <c r="H44" s="93"/>
      <c r="I44" s="75">
        <f>ROUND(SUM(I37:I43),2)</f>
        <v>304</v>
      </c>
      <c r="J44" s="74"/>
      <c r="K44" s="94">
        <f>ROUND(SUM(K37:K43),2)</f>
        <v>304</v>
      </c>
    </row>
    <row r="45" spans="2:11" s="2" customFormat="1" ht="15" x14ac:dyDescent="0.25">
      <c r="B45" s="3"/>
      <c r="C45" s="5">
        <v>32</v>
      </c>
      <c r="D45" s="28" t="s">
        <v>46</v>
      </c>
      <c r="E45" s="28"/>
      <c r="F45" s="156">
        <f>F44</f>
        <v>0.18140000000000001</v>
      </c>
      <c r="G45" s="203" t="s">
        <v>103</v>
      </c>
      <c r="H45" s="93"/>
      <c r="I45" s="76">
        <f>ROUND(F45*I35,2)</f>
        <v>25.34</v>
      </c>
      <c r="J45" s="74"/>
      <c r="K45" s="95">
        <f>ROUND(F45*K35,2)</f>
        <v>25.34</v>
      </c>
    </row>
    <row r="46" spans="2:11" s="2" customFormat="1" x14ac:dyDescent="0.25">
      <c r="B46" s="3"/>
      <c r="C46" s="4"/>
      <c r="D46" s="31"/>
      <c r="E46" s="31"/>
      <c r="F46" s="157"/>
      <c r="G46" s="204"/>
      <c r="H46" s="138"/>
      <c r="I46" s="132"/>
      <c r="J46" s="139"/>
      <c r="K46" s="133"/>
    </row>
    <row r="47" spans="2:11" s="2" customFormat="1" x14ac:dyDescent="0.25">
      <c r="B47" s="3" t="s">
        <v>21</v>
      </c>
      <c r="C47" s="5">
        <v>33</v>
      </c>
      <c r="D47" s="32" t="s">
        <v>22</v>
      </c>
      <c r="E47" s="32"/>
      <c r="F47" s="158"/>
      <c r="G47" s="210" t="s">
        <v>80</v>
      </c>
      <c r="H47" s="134"/>
      <c r="I47" s="135">
        <f>ROUND(I34-I44,2)</f>
        <v>1372</v>
      </c>
      <c r="J47" s="136"/>
      <c r="K47" s="140">
        <f>ROUND(K34-K44,2)</f>
        <v>1372</v>
      </c>
    </row>
    <row r="48" spans="2:11" s="2" customFormat="1" ht="14.25" customHeight="1" x14ac:dyDescent="0.25">
      <c r="B48" s="3" t="s">
        <v>0</v>
      </c>
      <c r="C48" s="5">
        <v>34</v>
      </c>
      <c r="D48" s="4" t="s">
        <v>44</v>
      </c>
      <c r="E48" s="4"/>
      <c r="F48" s="159"/>
      <c r="G48" s="198" t="s">
        <v>81</v>
      </c>
      <c r="H48" s="91"/>
      <c r="I48" s="21">
        <f>ROUND(I35-I45,2)</f>
        <v>114.33</v>
      </c>
      <c r="J48" s="37"/>
      <c r="K48" s="96">
        <f>ROUND(K35-K45,2)</f>
        <v>114.33</v>
      </c>
    </row>
    <row r="49" spans="2:14" s="2" customFormat="1" ht="18.75" customHeight="1" x14ac:dyDescent="0.25">
      <c r="B49" s="187" t="s">
        <v>23</v>
      </c>
      <c r="C49" s="188">
        <v>35</v>
      </c>
      <c r="D49" s="189" t="s">
        <v>47</v>
      </c>
      <c r="E49" s="190"/>
      <c r="F49" s="191"/>
      <c r="G49" s="212" t="s">
        <v>82</v>
      </c>
      <c r="H49" s="110" t="s">
        <v>94</v>
      </c>
      <c r="I49" s="107">
        <f>ROUND(I22/I48,2)</f>
        <v>38.31</v>
      </c>
      <c r="J49" s="111" t="s">
        <v>94</v>
      </c>
      <c r="K49" s="109">
        <f>ROUND(K22/K48,2)</f>
        <v>45.26</v>
      </c>
    </row>
    <row r="50" spans="2:14" s="2" customFormat="1" ht="6" customHeight="1" x14ac:dyDescent="0.25">
      <c r="B50" s="3"/>
      <c r="C50" s="4"/>
      <c r="D50" s="4"/>
      <c r="E50" s="4"/>
      <c r="F50" s="5"/>
      <c r="G50" s="198"/>
      <c r="H50" s="112"/>
      <c r="I50" s="57"/>
      <c r="J50" s="40"/>
      <c r="K50" s="90"/>
    </row>
    <row r="51" spans="2:14" s="2" customFormat="1" ht="6.75" customHeight="1" x14ac:dyDescent="0.25">
      <c r="B51" s="3"/>
      <c r="C51" s="4"/>
      <c r="D51" s="4"/>
      <c r="E51" s="4"/>
      <c r="F51" s="5"/>
      <c r="G51" s="198"/>
      <c r="H51" s="112"/>
      <c r="I51" s="57"/>
      <c r="J51" s="40"/>
      <c r="K51" s="90"/>
    </row>
    <row r="52" spans="2:14" s="83" customFormat="1" ht="16.5" customHeight="1" x14ac:dyDescent="0.25">
      <c r="B52" s="78" t="s">
        <v>48</v>
      </c>
      <c r="C52" s="84"/>
      <c r="D52" s="79"/>
      <c r="E52" s="79"/>
      <c r="F52" s="85"/>
      <c r="G52" s="227"/>
      <c r="H52" s="113"/>
      <c r="I52" s="86"/>
      <c r="J52" s="85"/>
      <c r="K52" s="103"/>
    </row>
    <row r="53" spans="2:14" s="2" customFormat="1" ht="5.25" customHeight="1" x14ac:dyDescent="0.25">
      <c r="B53" s="3"/>
      <c r="C53" s="4"/>
      <c r="D53" s="4"/>
      <c r="E53" s="4"/>
      <c r="F53" s="5"/>
      <c r="G53" s="198"/>
      <c r="H53" s="112"/>
      <c r="I53" s="57"/>
      <c r="J53" s="40"/>
      <c r="K53" s="90"/>
    </row>
    <row r="54" spans="2:14" s="2" customFormat="1" ht="15.75" thickBot="1" x14ac:dyDescent="0.3">
      <c r="B54" s="58" t="s">
        <v>25</v>
      </c>
      <c r="C54" s="8"/>
      <c r="D54" s="8" t="s">
        <v>0</v>
      </c>
      <c r="E54" s="7"/>
      <c r="F54" s="59"/>
      <c r="G54" s="228"/>
      <c r="H54" s="114"/>
      <c r="I54" s="100" t="s">
        <v>0</v>
      </c>
      <c r="J54" s="99"/>
      <c r="K54" s="96" t="s">
        <v>0</v>
      </c>
    </row>
    <row r="55" spans="2:14" s="2" customFormat="1" ht="15" thickBot="1" x14ac:dyDescent="0.3">
      <c r="B55" s="9" t="s">
        <v>26</v>
      </c>
      <c r="C55" s="4"/>
      <c r="D55" s="6"/>
      <c r="E55" s="12" t="s">
        <v>93</v>
      </c>
      <c r="F55" s="152" t="s">
        <v>61</v>
      </c>
      <c r="G55" s="215"/>
      <c r="H55" s="116"/>
      <c r="I55" s="22"/>
      <c r="J55" s="117"/>
      <c r="K55" s="118"/>
    </row>
    <row r="56" spans="2:14" s="2" customFormat="1" x14ac:dyDescent="0.25">
      <c r="B56" s="3"/>
      <c r="C56" s="4">
        <v>36</v>
      </c>
      <c r="D56" s="4" t="s">
        <v>95</v>
      </c>
      <c r="E56" s="11">
        <v>7.0000000000000007E-2</v>
      </c>
      <c r="F56" s="195">
        <v>7.0000000000000007E-2</v>
      </c>
      <c r="G56" s="215"/>
      <c r="H56" s="101"/>
      <c r="I56" s="19"/>
      <c r="J56" s="43"/>
      <c r="K56" s="90"/>
      <c r="N56" s="10"/>
    </row>
    <row r="57" spans="2:14" s="2" customFormat="1" x14ac:dyDescent="0.25">
      <c r="B57" s="3"/>
      <c r="C57" s="4">
        <v>37</v>
      </c>
      <c r="D57" s="28" t="s">
        <v>32</v>
      </c>
      <c r="E57" s="24">
        <v>0.15</v>
      </c>
      <c r="F57" s="196">
        <v>0.15</v>
      </c>
      <c r="G57" s="216"/>
      <c r="H57" s="101"/>
      <c r="I57" s="19"/>
      <c r="J57" s="43"/>
      <c r="K57" s="90"/>
    </row>
    <row r="58" spans="2:14" s="2" customFormat="1" x14ac:dyDescent="0.25">
      <c r="B58" s="3"/>
      <c r="C58" s="4">
        <v>38</v>
      </c>
      <c r="D58" s="28" t="s">
        <v>27</v>
      </c>
      <c r="E58" s="24">
        <v>0.05</v>
      </c>
      <c r="F58" s="196">
        <v>0.05</v>
      </c>
      <c r="G58" s="216"/>
      <c r="H58" s="101"/>
      <c r="I58" s="19"/>
      <c r="J58" s="43"/>
      <c r="K58" s="90"/>
    </row>
    <row r="59" spans="2:14" s="2" customFormat="1" x14ac:dyDescent="0.25">
      <c r="B59" s="3"/>
      <c r="C59" s="4">
        <v>39</v>
      </c>
      <c r="D59" s="28" t="s">
        <v>28</v>
      </c>
      <c r="E59" s="24">
        <v>0.08</v>
      </c>
      <c r="F59" s="196">
        <v>0.08</v>
      </c>
      <c r="G59" s="216"/>
      <c r="H59" s="101"/>
      <c r="I59" s="19"/>
      <c r="J59" s="43"/>
      <c r="K59" s="90"/>
    </row>
    <row r="60" spans="2:14" s="2" customFormat="1" x14ac:dyDescent="0.25">
      <c r="B60" s="3"/>
      <c r="C60" s="4">
        <v>40</v>
      </c>
      <c r="D60" s="28" t="s">
        <v>29</v>
      </c>
      <c r="E60" s="24">
        <v>0.1</v>
      </c>
      <c r="F60" s="196">
        <v>0.03</v>
      </c>
      <c r="G60" s="216"/>
      <c r="H60" s="101"/>
      <c r="I60" s="19"/>
      <c r="J60" s="43"/>
      <c r="K60" s="90"/>
    </row>
    <row r="61" spans="2:14" s="2" customFormat="1" x14ac:dyDescent="0.25">
      <c r="B61" s="3"/>
      <c r="C61" s="4">
        <v>41</v>
      </c>
      <c r="D61" s="28" t="s">
        <v>57</v>
      </c>
      <c r="E61" s="24">
        <v>0.05</v>
      </c>
      <c r="F61" s="196">
        <v>0.05</v>
      </c>
      <c r="G61" s="216"/>
      <c r="H61" s="101"/>
      <c r="I61" s="19"/>
      <c r="J61" s="43"/>
      <c r="K61" s="90"/>
    </row>
    <row r="62" spans="2:14" s="2" customFormat="1" x14ac:dyDescent="0.25">
      <c r="B62" s="3"/>
      <c r="C62" s="4">
        <v>42</v>
      </c>
      <c r="D62" s="28" t="s">
        <v>30</v>
      </c>
      <c r="E62" s="24">
        <v>0.01</v>
      </c>
      <c r="F62" s="196">
        <v>0.01</v>
      </c>
      <c r="G62" s="216"/>
      <c r="H62" s="101"/>
      <c r="I62" s="19"/>
      <c r="J62" s="43"/>
      <c r="K62" s="90"/>
    </row>
    <row r="63" spans="2:14" s="2" customFormat="1" x14ac:dyDescent="0.25">
      <c r="B63" s="3"/>
      <c r="C63" s="4">
        <v>43</v>
      </c>
      <c r="D63" s="28" t="s">
        <v>33</v>
      </c>
      <c r="E63" s="24">
        <v>0.02</v>
      </c>
      <c r="F63" s="196">
        <v>0.02</v>
      </c>
      <c r="G63" s="216"/>
      <c r="H63" s="101"/>
      <c r="I63" s="19"/>
      <c r="J63" s="43"/>
      <c r="K63" s="90"/>
    </row>
    <row r="64" spans="2:14" s="2" customFormat="1" x14ac:dyDescent="0.25">
      <c r="B64" s="3"/>
      <c r="C64" s="4">
        <v>44</v>
      </c>
      <c r="D64" s="28" t="s">
        <v>34</v>
      </c>
      <c r="E64" s="24">
        <v>0.02</v>
      </c>
      <c r="F64" s="196">
        <v>0.02</v>
      </c>
      <c r="G64" s="216"/>
      <c r="H64" s="101"/>
      <c r="I64" s="19"/>
      <c r="J64" s="43"/>
      <c r="K64" s="90"/>
    </row>
    <row r="65" spans="2:17" s="2" customFormat="1" x14ac:dyDescent="0.25">
      <c r="B65" s="3"/>
      <c r="C65" s="4">
        <v>45</v>
      </c>
      <c r="D65" s="28" t="s">
        <v>35</v>
      </c>
      <c r="E65" s="24">
        <v>0.01</v>
      </c>
      <c r="F65" s="196">
        <v>0.01</v>
      </c>
      <c r="G65" s="216"/>
      <c r="H65" s="101"/>
      <c r="I65" s="19"/>
      <c r="J65" s="43"/>
      <c r="K65" s="90"/>
    </row>
    <row r="66" spans="2:17" s="2" customFormat="1" x14ac:dyDescent="0.25">
      <c r="B66" s="3"/>
      <c r="C66" s="4">
        <v>46</v>
      </c>
      <c r="D66" s="28" t="s">
        <v>31</v>
      </c>
      <c r="E66" s="24">
        <v>0.02</v>
      </c>
      <c r="F66" s="196">
        <v>0.02</v>
      </c>
      <c r="G66" s="216"/>
      <c r="H66" s="101"/>
      <c r="I66" s="19"/>
      <c r="J66" s="43"/>
      <c r="K66" s="90"/>
    </row>
    <row r="67" spans="2:17" s="2" customFormat="1" x14ac:dyDescent="0.25">
      <c r="B67" s="3"/>
      <c r="C67" s="4">
        <v>47</v>
      </c>
      <c r="D67" s="28" t="s">
        <v>36</v>
      </c>
      <c r="E67" s="24">
        <v>0.02</v>
      </c>
      <c r="F67" s="196">
        <v>0.02</v>
      </c>
      <c r="G67" s="216"/>
      <c r="H67" s="101"/>
      <c r="I67" s="19"/>
      <c r="J67" s="43"/>
      <c r="K67" s="90"/>
    </row>
    <row r="68" spans="2:17" s="2" customFormat="1" x14ac:dyDescent="0.25">
      <c r="B68" s="9" t="s">
        <v>114</v>
      </c>
      <c r="C68" s="4">
        <v>48</v>
      </c>
      <c r="D68" s="28" t="s">
        <v>115</v>
      </c>
      <c r="E68" s="24">
        <v>0.15</v>
      </c>
      <c r="F68" s="196">
        <v>0.15</v>
      </c>
      <c r="G68" s="216"/>
      <c r="H68" s="115"/>
      <c r="I68" s="19"/>
      <c r="J68" s="42"/>
      <c r="K68" s="90"/>
    </row>
    <row r="69" spans="2:17" s="2" customFormat="1" ht="15" x14ac:dyDescent="0.25">
      <c r="B69" s="3"/>
      <c r="C69" s="4">
        <v>49</v>
      </c>
      <c r="D69" s="53" t="s">
        <v>49</v>
      </c>
      <c r="E69" s="54">
        <f>SUM(E56:E68)</f>
        <v>0.75</v>
      </c>
      <c r="F69" s="153">
        <f>SUM(F56:F68)</f>
        <v>0.68</v>
      </c>
      <c r="G69" s="213" t="s">
        <v>83</v>
      </c>
      <c r="H69" s="170" t="s">
        <v>94</v>
      </c>
      <c r="I69" s="56">
        <f>ROUND(F69*I49,2)</f>
        <v>26.05</v>
      </c>
      <c r="J69" s="55"/>
      <c r="K69" s="171">
        <f>ROUND(F69*K49,2)</f>
        <v>30.78</v>
      </c>
    </row>
    <row r="70" spans="2:17" s="2" customFormat="1" ht="5.25" customHeight="1" x14ac:dyDescent="0.25">
      <c r="B70" s="3"/>
      <c r="C70" s="4"/>
      <c r="D70" s="18"/>
      <c r="E70" s="44"/>
      <c r="F70" s="44"/>
      <c r="G70" s="214"/>
      <c r="H70" s="101"/>
      <c r="I70" s="57"/>
      <c r="J70" s="11"/>
      <c r="K70" s="90"/>
    </row>
    <row r="71" spans="2:17" s="2" customFormat="1" ht="15" x14ac:dyDescent="0.25">
      <c r="B71" s="58" t="s">
        <v>39</v>
      </c>
      <c r="C71" s="8"/>
      <c r="D71" s="8" t="s">
        <v>0</v>
      </c>
      <c r="E71" s="184"/>
      <c r="F71" s="184"/>
      <c r="G71" s="215"/>
      <c r="H71" s="101"/>
      <c r="I71" s="100" t="s">
        <v>0</v>
      </c>
      <c r="J71" s="11"/>
      <c r="K71" s="96" t="s">
        <v>0</v>
      </c>
    </row>
    <row r="72" spans="2:17" s="2" customFormat="1" x14ac:dyDescent="0.25">
      <c r="B72" s="175"/>
      <c r="C72" s="18">
        <v>50</v>
      </c>
      <c r="D72" s="18" t="s">
        <v>37</v>
      </c>
      <c r="E72" s="44">
        <v>0.05</v>
      </c>
      <c r="F72" s="197">
        <v>0.05</v>
      </c>
      <c r="G72" s="214"/>
      <c r="H72" s="185"/>
      <c r="I72" s="20"/>
      <c r="J72" s="186"/>
      <c r="K72" s="150"/>
    </row>
    <row r="73" spans="2:17" s="2" customFormat="1" x14ac:dyDescent="0.25">
      <c r="B73" s="3"/>
      <c r="C73" s="4">
        <v>51</v>
      </c>
      <c r="D73" s="28" t="s">
        <v>113</v>
      </c>
      <c r="E73" s="24">
        <v>0.05</v>
      </c>
      <c r="F73" s="196">
        <v>0.05</v>
      </c>
      <c r="G73" s="216"/>
      <c r="H73" s="101"/>
      <c r="I73" s="19"/>
      <c r="J73" s="43"/>
      <c r="K73" s="90"/>
      <c r="Q73" s="2" t="s">
        <v>0</v>
      </c>
    </row>
    <row r="74" spans="2:17" s="2" customFormat="1" x14ac:dyDescent="0.25">
      <c r="B74" s="3"/>
      <c r="C74" s="4">
        <v>52</v>
      </c>
      <c r="D74" s="28" t="s">
        <v>38</v>
      </c>
      <c r="E74" s="24">
        <v>0.04</v>
      </c>
      <c r="F74" s="196">
        <v>0.04</v>
      </c>
      <c r="G74" s="216"/>
      <c r="H74" s="101"/>
      <c r="I74" s="19"/>
      <c r="J74" s="43"/>
      <c r="K74" s="90"/>
    </row>
    <row r="75" spans="2:17" s="2" customFormat="1" ht="5.25" customHeight="1" x14ac:dyDescent="0.25">
      <c r="B75" s="3"/>
      <c r="C75" s="4"/>
      <c r="D75" s="31"/>
      <c r="E75" s="141"/>
      <c r="F75" s="154"/>
      <c r="G75" s="217"/>
      <c r="H75" s="101"/>
      <c r="I75" s="19"/>
      <c r="J75" s="43"/>
      <c r="K75" s="90"/>
    </row>
    <row r="76" spans="2:17" s="2" customFormat="1" ht="15" x14ac:dyDescent="0.25">
      <c r="B76" s="3"/>
      <c r="C76" s="4">
        <v>53</v>
      </c>
      <c r="D76" s="144" t="s">
        <v>50</v>
      </c>
      <c r="E76" s="145">
        <f>SUM(E72:E75)</f>
        <v>0.14000000000000001</v>
      </c>
      <c r="F76" s="155">
        <f>SUM(F72:F75)</f>
        <v>0.14000000000000001</v>
      </c>
      <c r="G76" s="218" t="s">
        <v>84</v>
      </c>
      <c r="H76" s="146" t="s">
        <v>94</v>
      </c>
      <c r="I76" s="147">
        <f>ROUND(F76*I49,2)</f>
        <v>5.36</v>
      </c>
      <c r="J76" s="148"/>
      <c r="K76" s="149">
        <f>ROUND(F76*K49,2)</f>
        <v>6.34</v>
      </c>
    </row>
    <row r="77" spans="2:17" s="2" customFormat="1" ht="6.75" customHeight="1" x14ac:dyDescent="0.25">
      <c r="B77" s="3"/>
      <c r="C77" s="4"/>
      <c r="D77" s="31"/>
      <c r="E77" s="141"/>
      <c r="F77" s="154"/>
      <c r="G77" s="217"/>
      <c r="H77" s="142"/>
      <c r="I77" s="132"/>
      <c r="J77" s="143"/>
      <c r="K77" s="133"/>
    </row>
    <row r="78" spans="2:17" s="2" customFormat="1" ht="15" x14ac:dyDescent="0.25">
      <c r="B78" s="3"/>
      <c r="C78" s="4">
        <v>54</v>
      </c>
      <c r="D78" s="144" t="s">
        <v>51</v>
      </c>
      <c r="E78" s="145">
        <f>E76+E69</f>
        <v>0.89</v>
      </c>
      <c r="F78" s="155">
        <f>F76+F69</f>
        <v>0.82</v>
      </c>
      <c r="G78" s="218" t="s">
        <v>85</v>
      </c>
      <c r="H78" s="146" t="s">
        <v>94</v>
      </c>
      <c r="I78" s="147">
        <f>ROUND(F78*I49,2)</f>
        <v>31.41</v>
      </c>
      <c r="J78" s="148"/>
      <c r="K78" s="149">
        <f>ROUND(F78*K49,2)</f>
        <v>37.11</v>
      </c>
    </row>
    <row r="79" spans="2:17" s="2" customFormat="1" ht="9" customHeight="1" x14ac:dyDescent="0.25">
      <c r="B79" s="3"/>
      <c r="C79" s="4"/>
      <c r="D79" s="4"/>
      <c r="E79" s="4"/>
      <c r="F79" s="5"/>
      <c r="G79" s="198"/>
      <c r="H79" s="91"/>
      <c r="I79" s="57"/>
      <c r="J79" s="5"/>
      <c r="K79" s="90"/>
    </row>
    <row r="80" spans="2:17" s="83" customFormat="1" ht="16.5" customHeight="1" x14ac:dyDescent="0.25">
      <c r="B80" s="78" t="s">
        <v>99</v>
      </c>
      <c r="C80" s="79"/>
      <c r="D80" s="80"/>
      <c r="E80" s="79"/>
      <c r="F80" s="169"/>
      <c r="G80" s="219" t="s">
        <v>86</v>
      </c>
      <c r="H80" s="102" t="s">
        <v>94</v>
      </c>
      <c r="I80" s="81">
        <f>I49+I78</f>
        <v>69.72</v>
      </c>
      <c r="J80" s="82"/>
      <c r="K80" s="103">
        <f>ROUND(K49+K78,2)</f>
        <v>82.37</v>
      </c>
    </row>
    <row r="81" spans="2:11" s="2" customFormat="1" ht="5.25" customHeight="1" x14ac:dyDescent="0.25">
      <c r="B81" s="3"/>
      <c r="C81" s="4"/>
      <c r="D81" s="4"/>
      <c r="E81" s="4"/>
      <c r="F81" s="5"/>
      <c r="G81" s="198"/>
      <c r="H81" s="91"/>
      <c r="I81" s="57"/>
      <c r="J81" s="5"/>
      <c r="K81" s="90"/>
    </row>
    <row r="82" spans="2:11" s="2" customFormat="1" ht="15" x14ac:dyDescent="0.25">
      <c r="B82" s="187" t="s">
        <v>58</v>
      </c>
      <c r="C82" s="190"/>
      <c r="D82" s="189"/>
      <c r="E82" s="190"/>
      <c r="F82" s="191"/>
      <c r="G82" s="212" t="s">
        <v>88</v>
      </c>
      <c r="H82" s="106" t="s">
        <v>94</v>
      </c>
      <c r="I82" s="107">
        <f>ROUND(I80*I48,2)</f>
        <v>7971.09</v>
      </c>
      <c r="J82" s="224"/>
      <c r="K82" s="109">
        <f>ROUND(K80*K48,2)</f>
        <v>9417.36</v>
      </c>
    </row>
    <row r="83" spans="2:11" s="2" customFormat="1" ht="5.25" customHeight="1" x14ac:dyDescent="0.25">
      <c r="B83" s="3"/>
      <c r="C83" s="4"/>
      <c r="D83" s="4"/>
      <c r="E83" s="4"/>
      <c r="F83" s="5"/>
      <c r="G83" s="198"/>
      <c r="H83" s="91"/>
      <c r="I83" s="57"/>
      <c r="J83" s="225"/>
      <c r="K83" s="90"/>
    </row>
    <row r="84" spans="2:11" s="2" customFormat="1" ht="15.75" thickBot="1" x14ac:dyDescent="0.3">
      <c r="B84" s="25" t="s">
        <v>59</v>
      </c>
      <c r="C84" s="26"/>
      <c r="D84" s="27"/>
      <c r="E84" s="26"/>
      <c r="F84" s="160"/>
      <c r="G84" s="220" t="s">
        <v>87</v>
      </c>
      <c r="H84" s="104" t="s">
        <v>94</v>
      </c>
      <c r="I84" s="97">
        <f>ROUND(I80*I47,2)</f>
        <v>95655.84</v>
      </c>
      <c r="J84" s="226"/>
      <c r="K84" s="98">
        <f>ROUND(K80*K47,2)</f>
        <v>113011.64</v>
      </c>
    </row>
    <row r="86" spans="2:11" ht="3.75" customHeight="1" x14ac:dyDescent="0.2"/>
    <row r="87" spans="2:11" x14ac:dyDescent="0.2">
      <c r="B87" s="221" t="s">
        <v>138</v>
      </c>
      <c r="D87" s="221" t="s">
        <v>137</v>
      </c>
      <c r="E87" s="33" t="s">
        <v>89</v>
      </c>
      <c r="F87" s="73"/>
      <c r="G87" s="33" t="s">
        <v>125</v>
      </c>
    </row>
    <row r="88" spans="2:11" ht="3" customHeight="1" x14ac:dyDescent="0.2">
      <c r="E88" s="33"/>
    </row>
    <row r="89" spans="2:11" ht="36.75" customHeight="1" x14ac:dyDescent="0.2">
      <c r="B89" s="235" t="s">
        <v>134</v>
      </c>
      <c r="C89" s="235"/>
      <c r="D89" s="235"/>
      <c r="E89" s="235"/>
      <c r="F89" s="235"/>
      <c r="G89" s="235"/>
      <c r="H89" s="235"/>
      <c r="I89" s="235"/>
      <c r="J89" s="235"/>
      <c r="K89" s="235"/>
    </row>
  </sheetData>
  <mergeCells count="5">
    <mergeCell ref="B89:K89"/>
    <mergeCell ref="B3:D3"/>
    <mergeCell ref="F3:K3"/>
    <mergeCell ref="H5:I5"/>
    <mergeCell ref="J5:K5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50" max="16383" man="1"/>
    <brk id="70" max="16383" man="1"/>
    <brk id="72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KAT A1</vt:lpstr>
      <vt:lpstr>KAT A2</vt:lpstr>
      <vt:lpstr>KAT B+B1</vt:lpstr>
      <vt:lpstr>KAT_B2</vt:lpstr>
      <vt:lpstr>KAT C</vt:lpstr>
      <vt:lpstr>'KAT A1'!Druckbereich</vt:lpstr>
      <vt:lpstr>'KAT A2'!Druckbereich</vt:lpstr>
      <vt:lpstr>'KAT B+B1'!Druckbereich</vt:lpstr>
      <vt:lpstr>'KAT C'!Druckbereich</vt:lpstr>
      <vt:lpstr>KAT_B2!Druckbereich</vt:lpstr>
    </vt:vector>
  </TitlesOfParts>
  <Company>Tu Graz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Brauneis Helmut</cp:lastModifiedBy>
  <cp:lastPrinted>2021-01-28T13:57:45Z</cp:lastPrinted>
  <dcterms:created xsi:type="dcterms:W3CDTF">2012-01-25T12:08:23Z</dcterms:created>
  <dcterms:modified xsi:type="dcterms:W3CDTF">2021-02-08T10:37:43Z</dcterms:modified>
</cp:coreProperties>
</file>