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8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9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11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65D8D813-A2A6-43AC-96C1-6ECA269BE3FC}" xr6:coauthVersionLast="47" xr6:coauthVersionMax="47" xr10:uidLastSave="{00000000-0000-0000-0000-000000000000}"/>
  <bookViews>
    <workbookView xWindow="28680" yWindow="-120" windowWidth="29040" windowHeight="17640" tabRatio="914" xr2:uid="{00000000-000D-0000-FFFF-FFFF00000000}"/>
  </bookViews>
  <sheets>
    <sheet name="Summenblatt" sheetId="68" r:id="rId1"/>
    <sheet name="GP2aNEU" sheetId="73" r:id="rId2"/>
    <sheet name="BauKG" sheetId="80" r:id="rId3"/>
    <sheet name="Objektplanung Architektur" sheetId="83" r:id="rId4"/>
    <sheet name="ED zusammen" sheetId="84" r:id="rId5"/>
    <sheet name="Freianlagen" sheetId="81" r:id="rId6"/>
    <sheet name="Tragwerksplanung" sheetId="82" r:id="rId7"/>
    <sheet name="BPH-Thermisch" sheetId="85" r:id="rId8"/>
    <sheet name="BPH-Schallschutz" sheetId="86" r:id="rId9"/>
    <sheet name="BPH-Raumakustik" sheetId="87" r:id="rId10"/>
    <sheet name="TA_ges" sheetId="88" r:id="rId11"/>
    <sheet name="Brandschutz" sheetId="89" r:id="rId12"/>
  </sheets>
  <definedNames>
    <definedName name="_1" comment="KB 1 - Aufschließung">Summenblatt!$I$7</definedName>
    <definedName name="_1_9" comment="KB 1-9 = Errichtungskosten">Summenblatt!$I$38</definedName>
    <definedName name="_2" comment="KB 2 - Bauwerk_Rohbau">Summenblatt!$I$9</definedName>
    <definedName name="_3" comment="KB 3 - Bauwerk_Technik">Summenblatt!$I$11</definedName>
    <definedName name="_3.01" comment="KB 3.01 - Abwasser-,Wasser-,Gasanlagen">Summenblatt!$I$12</definedName>
    <definedName name="_3.02" comment="KB 3.02 - Wärme-und Kälteversorgungsanlagen">Summenblatt!$I$13</definedName>
    <definedName name="_3.03" comment="KB 3.03 - Lufttechnische Anlagen">Summenblatt!$I$14</definedName>
    <definedName name="_3.04" comment="KB 3.04 - Starkstrom-Elektroanlagen">Summenblatt!$I$15</definedName>
    <definedName name="_3.05" comment="KB 3.05 - Fernmelde-,IT- und Sicherheitsanlagen ">Summenblatt!$I$16</definedName>
    <definedName name="_3.06" comment="KB 3.06 - Fördertechnische Anlagen">Summenblatt!$I$17</definedName>
    <definedName name="_3.07" comment="KB 3.07 - Nutzungsspezifische Anlagen ">Summenblatt!$I$18</definedName>
    <definedName name="_3.08" comment="KB 3.08 - Gebäudeautomation ">Summenblatt!$I$19</definedName>
    <definedName name="_4" comment="KB 4 - Bauwerk_Ausbau">Summenblatt!$I$21</definedName>
    <definedName name="_5" comment="KB 5 - Einrichtung">Summenblatt!$I$23</definedName>
    <definedName name="_5.01" comment="KB 5.01 - Einbaumöbel">Summenblatt!$I$24</definedName>
    <definedName name="_5.02" comment="KB 5.02 - Serienmöbel">Summenblatt!$I$25</definedName>
    <definedName name="_5.03" comment="KB 5.03 - Nutzungsspezifische Ausstattung ">Summenblatt!$I$26</definedName>
    <definedName name="_6" comment="KB 6 - Aussenanlagen ">Summenblatt!$I$28</definedName>
    <definedName name="_7" comment="KB 7 - Planungsleistungen (ohne PL,PS,BK)">Summenblatt!$I$30</definedName>
    <definedName name="_8" comment="KB 8 - Nebenkosten (Bewilligungen, Anschlussgebühren,...)">Summenblatt!$I$32</definedName>
    <definedName name="_9" comment="KB 9 - Reserven">Summenblatt!$I$34</definedName>
    <definedName name="_Brand" comment="Brandschutz" localSheetId="5">#REF!</definedName>
    <definedName name="_Brand" comment="Brandschutz" localSheetId="10">#REF!</definedName>
    <definedName name="_Brand_AHO" comment="Brandschutz nach AHO" localSheetId="5">#REF!</definedName>
    <definedName name="_Brand_AHO" comment="Brandschutz nach AHO" localSheetId="10">#REF!</definedName>
    <definedName name="_EK" comment="Errichtungskosten">Summenblatt!$I$38</definedName>
    <definedName name="_GP2aNeu" comment="Generalplaner Leitung 2.a">GP2aNEU!$I$83</definedName>
    <definedName name="_mvB" comment="mitzuverarbeitende Bausubstanz">Summenblatt!$I$40</definedName>
    <definedName name="_xlnm.Print_Area" localSheetId="2">BauKG!$A$1:$I$89</definedName>
    <definedName name="_xlnm.Print_Area" localSheetId="9">'BPH-Raumakustik'!$A$1:$I$93</definedName>
    <definedName name="_xlnm.Print_Area" localSheetId="8">'BPH-Schallschutz'!$A$1:$I$90</definedName>
    <definedName name="_xlnm.Print_Area" localSheetId="7">'BPH-Thermisch'!$A$1:$I$91</definedName>
    <definedName name="_xlnm.Print_Area" localSheetId="11">Brandschutz!$A$1:$I$94</definedName>
    <definedName name="_xlnm.Print_Area" localSheetId="4">'ED zusammen'!$A$1:$I$93</definedName>
    <definedName name="_xlnm.Print_Area" localSheetId="5">Freianlagen!$A$1:$I$87</definedName>
    <definedName name="_xlnm.Print_Area" localSheetId="1">GP2aNEU!$A$1:$I$91</definedName>
    <definedName name="_xlnm.Print_Area" localSheetId="3">'Objektplanung Architektur'!$A$1:$I$99</definedName>
    <definedName name="_xlnm.Print_Area" localSheetId="0">Summenblatt!$A$1:$I$91</definedName>
    <definedName name="_xlnm.Print_Area" localSheetId="10">TA_ges!$A$1:$I$100</definedName>
    <definedName name="_xlnm.Print_Area" localSheetId="6">Tragwerksplanung!$A$1:$I$93</definedName>
    <definedName name="_xlnm.Print_Titles" localSheetId="2">BauKG!$A:$C,BauKG!$3:$3</definedName>
    <definedName name="_xlnm.Print_Titles" localSheetId="9">'BPH-Raumakustik'!$A:$D,'BPH-Raumakustik'!$3:$3</definedName>
    <definedName name="_xlnm.Print_Titles" localSheetId="8">'BPH-Schallschutz'!$A:$D,'BPH-Schallschutz'!$3:$3</definedName>
    <definedName name="_xlnm.Print_Titles" localSheetId="4">'ED zusammen'!$3:$3</definedName>
    <definedName name="_xlnm.Print_Titles" localSheetId="5">Freianlagen!$A:$C,Freianlagen!$3:$3</definedName>
    <definedName name="_xlnm.Print_Titles" localSheetId="1">GP2aNEU!$A:$C,GP2aNEU!$4:$4</definedName>
    <definedName name="_xlnm.Print_Titles" localSheetId="3">'Objektplanung Architektur'!$A:$D,'Objektplanung Architektur'!$2:$2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88" l="1"/>
  <c r="E54" i="83" l="1"/>
  <c r="D77" i="88"/>
  <c r="D86" i="88" s="1"/>
  <c r="D78" i="89"/>
  <c r="D80" i="89"/>
  <c r="E80" i="89"/>
  <c r="E78" i="89"/>
  <c r="D79" i="87"/>
  <c r="D76" i="87"/>
  <c r="D76" i="86"/>
  <c r="D73" i="86"/>
  <c r="D77" i="85"/>
  <c r="D74" i="85"/>
  <c r="D79" i="82"/>
  <c r="D76" i="82"/>
  <c r="D73" i="81"/>
  <c r="D70" i="81"/>
  <c r="D75" i="84"/>
  <c r="D71" i="84"/>
  <c r="D87" i="83"/>
  <c r="F86" i="83"/>
  <c r="F83" i="83"/>
  <c r="F82" i="83"/>
  <c r="D75" i="80"/>
  <c r="D75" i="73"/>
  <c r="D72" i="73"/>
  <c r="E30" i="84" l="1"/>
  <c r="E26" i="84"/>
  <c r="E24" i="84"/>
  <c r="E22" i="84"/>
  <c r="E20" i="84"/>
  <c r="E17" i="84"/>
  <c r="E16" i="84"/>
  <c r="E13" i="84"/>
  <c r="E9" i="84"/>
  <c r="E7" i="84"/>
  <c r="A55" i="84"/>
  <c r="E49" i="86" l="1"/>
  <c r="E50" i="85" l="1"/>
  <c r="I77" i="84" l="1"/>
  <c r="E71" i="84"/>
  <c r="E75" i="84" s="1"/>
  <c r="A53" i="84"/>
  <c r="E45" i="84"/>
  <c r="E53" i="84" s="1"/>
  <c r="I30" i="84"/>
  <c r="I26" i="84"/>
  <c r="I24" i="84"/>
  <c r="I22" i="84"/>
  <c r="I20" i="84"/>
  <c r="I18" i="84"/>
  <c r="I17" i="84"/>
  <c r="I16" i="84"/>
  <c r="E15" i="84"/>
  <c r="I13" i="84"/>
  <c r="I9" i="84"/>
  <c r="I7" i="84"/>
  <c r="E44" i="81" l="1"/>
  <c r="E54" i="89"/>
  <c r="E38" i="89"/>
  <c r="E34" i="89" l="1"/>
  <c r="I34" i="89" s="1"/>
  <c r="E32" i="89"/>
  <c r="I32" i="89" s="1"/>
  <c r="E30" i="89"/>
  <c r="I30" i="89" s="1"/>
  <c r="E28" i="89"/>
  <c r="I28" i="89" s="1"/>
  <c r="E26" i="89"/>
  <c r="I26" i="89" s="1"/>
  <c r="E25" i="89"/>
  <c r="I25" i="89" s="1"/>
  <c r="E24" i="89"/>
  <c r="I24" i="89" s="1"/>
  <c r="E21" i="89"/>
  <c r="I21" i="89" s="1"/>
  <c r="E19" i="89"/>
  <c r="I19" i="89" s="1"/>
  <c r="E18" i="89"/>
  <c r="I18" i="89" s="1"/>
  <c r="E17" i="89"/>
  <c r="I17" i="89" s="1"/>
  <c r="E16" i="89"/>
  <c r="I16" i="89" s="1"/>
  <c r="E15" i="89"/>
  <c r="I15" i="89" s="1"/>
  <c r="E14" i="89"/>
  <c r="I14" i="89" s="1"/>
  <c r="E13" i="89"/>
  <c r="I13" i="89" s="1"/>
  <c r="E12" i="89"/>
  <c r="I12" i="89" s="1"/>
  <c r="E9" i="89"/>
  <c r="I9" i="89" s="1"/>
  <c r="E7" i="89"/>
  <c r="I7" i="89" s="1"/>
  <c r="I82" i="89"/>
  <c r="E60" i="89"/>
  <c r="I38" i="89"/>
  <c r="I36" i="89" l="1"/>
  <c r="I40" i="89" s="1"/>
  <c r="E58" i="89" s="1"/>
  <c r="E62" i="89" s="1"/>
  <c r="F65" i="89" s="1"/>
  <c r="F79" i="89" s="1"/>
  <c r="F75" i="89" l="1"/>
  <c r="F71" i="89"/>
  <c r="F76" i="89"/>
  <c r="F72" i="89"/>
  <c r="F68" i="89"/>
  <c r="F74" i="89"/>
  <c r="F70" i="89"/>
  <c r="F77" i="89"/>
  <c r="F73" i="89"/>
  <c r="F69" i="89"/>
  <c r="F78" i="89" l="1"/>
  <c r="F80" i="89" s="1"/>
  <c r="I80" i="89" s="1"/>
  <c r="I84" i="89" s="1"/>
  <c r="I68" i="68" s="1"/>
  <c r="I86" i="89" l="1"/>
  <c r="I89" i="89" s="1"/>
  <c r="I90" i="89" l="1"/>
  <c r="I92" i="89" s="1"/>
  <c r="E16" i="88" l="1"/>
  <c r="I16" i="88" s="1"/>
  <c r="E34" i="88"/>
  <c r="I34" i="88" s="1"/>
  <c r="E30" i="88"/>
  <c r="I30" i="88" s="1"/>
  <c r="E28" i="88"/>
  <c r="I28" i="88" s="1"/>
  <c r="E26" i="88"/>
  <c r="I26" i="88" s="1"/>
  <c r="E24" i="88"/>
  <c r="I24" i="88" s="1"/>
  <c r="E20" i="88"/>
  <c r="I20" i="88" s="1"/>
  <c r="E18" i="88"/>
  <c r="I18" i="88" s="1"/>
  <c r="E17" i="88"/>
  <c r="I17" i="88" s="1"/>
  <c r="E15" i="88"/>
  <c r="I15" i="88" s="1"/>
  <c r="E14" i="88"/>
  <c r="I14" i="88" s="1"/>
  <c r="E13" i="88"/>
  <c r="I13" i="88" s="1"/>
  <c r="E12" i="88"/>
  <c r="I12" i="88" s="1"/>
  <c r="E11" i="88"/>
  <c r="I11" i="88" s="1"/>
  <c r="E8" i="88"/>
  <c r="I8" i="88" s="1"/>
  <c r="E6" i="88"/>
  <c r="I6" i="88" s="1"/>
  <c r="I88" i="88"/>
  <c r="E77" i="88"/>
  <c r="E86" i="88" s="1"/>
  <c r="E51" i="88"/>
  <c r="E57" i="88" s="1"/>
  <c r="A64" i="68" l="1"/>
  <c r="A62" i="68"/>
  <c r="A60" i="68"/>
  <c r="A58" i="68"/>
  <c r="A56" i="68"/>
  <c r="A54" i="68"/>
  <c r="A52" i="68"/>
  <c r="A50" i="68"/>
  <c r="E48" i="73" l="1"/>
  <c r="I81" i="87" l="1"/>
  <c r="E76" i="87"/>
  <c r="E79" i="87" s="1"/>
  <c r="E51" i="87"/>
  <c r="E59" i="87" s="1"/>
  <c r="E31" i="87"/>
  <c r="E29" i="87"/>
  <c r="E27" i="87"/>
  <c r="I27" i="87" s="1"/>
  <c r="E25" i="87"/>
  <c r="I25" i="87" s="1"/>
  <c r="E21" i="87"/>
  <c r="I21" i="87" s="1"/>
  <c r="E19" i="87"/>
  <c r="I19" i="87" s="1"/>
  <c r="E18" i="87"/>
  <c r="I18" i="87" s="1"/>
  <c r="E17" i="87"/>
  <c r="I17" i="87" s="1"/>
  <c r="E16" i="87"/>
  <c r="I16" i="87" s="1"/>
  <c r="E15" i="87"/>
  <c r="I15" i="87" s="1"/>
  <c r="E14" i="87"/>
  <c r="I14" i="87" s="1"/>
  <c r="E13" i="87"/>
  <c r="I13" i="87" s="1"/>
  <c r="E12" i="87"/>
  <c r="I12" i="87" s="1"/>
  <c r="E9" i="87"/>
  <c r="E7" i="87"/>
  <c r="I7" i="87" s="1"/>
  <c r="I78" i="86"/>
  <c r="E73" i="86"/>
  <c r="E76" i="86" s="1"/>
  <c r="E55" i="86"/>
  <c r="E30" i="86"/>
  <c r="I30" i="86" s="1"/>
  <c r="E28" i="86"/>
  <c r="I28" i="86" s="1"/>
  <c r="E26" i="86"/>
  <c r="E24" i="86"/>
  <c r="I24" i="86" s="1"/>
  <c r="E20" i="86"/>
  <c r="E18" i="86"/>
  <c r="I18" i="86" s="1"/>
  <c r="E17" i="86"/>
  <c r="I17" i="86" s="1"/>
  <c r="E16" i="86"/>
  <c r="I16" i="86" s="1"/>
  <c r="E15" i="86"/>
  <c r="I15" i="86" s="1"/>
  <c r="E14" i="86"/>
  <c r="I14" i="86" s="1"/>
  <c r="E13" i="86"/>
  <c r="I13" i="86" s="1"/>
  <c r="E12" i="86"/>
  <c r="I12" i="86" s="1"/>
  <c r="E11" i="86"/>
  <c r="I11" i="86" s="1"/>
  <c r="E8" i="86"/>
  <c r="E6" i="86"/>
  <c r="I79" i="85"/>
  <c r="E74" i="85"/>
  <c r="E77" i="85" s="1"/>
  <c r="E56" i="85"/>
  <c r="E30" i="85"/>
  <c r="E28" i="85"/>
  <c r="I28" i="85" s="1"/>
  <c r="E26" i="85"/>
  <c r="I26" i="85" s="1"/>
  <c r="E24" i="85"/>
  <c r="E20" i="85"/>
  <c r="I20" i="85" s="1"/>
  <c r="E18" i="85"/>
  <c r="I18" i="85" s="1"/>
  <c r="E17" i="85"/>
  <c r="I17" i="85" s="1"/>
  <c r="E16" i="85"/>
  <c r="I16" i="85" s="1"/>
  <c r="E15" i="85"/>
  <c r="I15" i="85" s="1"/>
  <c r="E14" i="85"/>
  <c r="I14" i="85" s="1"/>
  <c r="E13" i="85"/>
  <c r="I13" i="85" s="1"/>
  <c r="E12" i="85"/>
  <c r="I12" i="85" s="1"/>
  <c r="E11" i="85"/>
  <c r="I11" i="85" s="1"/>
  <c r="E8" i="85"/>
  <c r="I8" i="85" s="1"/>
  <c r="E6" i="85"/>
  <c r="I6" i="85" s="1"/>
  <c r="I8" i="86" l="1"/>
  <c r="I31" i="87"/>
  <c r="I24" i="85"/>
  <c r="I30" i="85"/>
  <c r="I26" i="86"/>
  <c r="I9" i="87"/>
  <c r="I6" i="86"/>
  <c r="I20" i="86"/>
  <c r="I29" i="87"/>
  <c r="E32" i="83" l="1"/>
  <c r="I32" i="83" s="1"/>
  <c r="E30" i="83"/>
  <c r="I30" i="83" s="1"/>
  <c r="E28" i="83"/>
  <c r="I28" i="83" s="1"/>
  <c r="E26" i="83"/>
  <c r="I26" i="83" s="1"/>
  <c r="E24" i="83"/>
  <c r="I24" i="83" s="1"/>
  <c r="E23" i="83"/>
  <c r="I23" i="83" s="1"/>
  <c r="E22" i="83"/>
  <c r="I22" i="83" s="1"/>
  <c r="E19" i="83"/>
  <c r="I19" i="83" s="1"/>
  <c r="E17" i="83"/>
  <c r="E16" i="83"/>
  <c r="E15" i="83"/>
  <c r="E14" i="83"/>
  <c r="E13" i="83"/>
  <c r="E12" i="83"/>
  <c r="E11" i="83"/>
  <c r="E10" i="83"/>
  <c r="E7" i="83"/>
  <c r="E5" i="83"/>
  <c r="I5" i="83" s="1"/>
  <c r="I89" i="83"/>
  <c r="E78" i="83"/>
  <c r="E87" i="83" s="1"/>
  <c r="D78" i="83"/>
  <c r="E60" i="83"/>
  <c r="H12" i="83" l="1"/>
  <c r="H13" i="83" s="1"/>
  <c r="I7" i="83"/>
  <c r="E31" i="82" l="1"/>
  <c r="I31" i="82" s="1"/>
  <c r="E29" i="82"/>
  <c r="I29" i="82" s="1"/>
  <c r="E27" i="82"/>
  <c r="I27" i="82" s="1"/>
  <c r="E25" i="82"/>
  <c r="I25" i="82" s="1"/>
  <c r="E21" i="82"/>
  <c r="I21" i="82" s="1"/>
  <c r="E19" i="82"/>
  <c r="I19" i="82" s="1"/>
  <c r="E18" i="82"/>
  <c r="I18" i="82" s="1"/>
  <c r="E17" i="82"/>
  <c r="I17" i="82" s="1"/>
  <c r="E16" i="82"/>
  <c r="I16" i="82" s="1"/>
  <c r="E15" i="82"/>
  <c r="I15" i="82" s="1"/>
  <c r="E14" i="82"/>
  <c r="I14" i="82" s="1"/>
  <c r="E13" i="82"/>
  <c r="I13" i="82" s="1"/>
  <c r="E12" i="82"/>
  <c r="I12" i="82" s="1"/>
  <c r="E9" i="82"/>
  <c r="I9" i="82" s="1"/>
  <c r="E7" i="82"/>
  <c r="I81" i="82"/>
  <c r="E76" i="82"/>
  <c r="E79" i="82" s="1"/>
  <c r="E53" i="82"/>
  <c r="E59" i="82" s="1"/>
  <c r="I7" i="82" l="1"/>
  <c r="E23" i="81" l="1"/>
  <c r="E21" i="81"/>
  <c r="E19" i="81"/>
  <c r="I19" i="81" s="1"/>
  <c r="E17" i="81"/>
  <c r="I17" i="81" s="1"/>
  <c r="E13" i="81"/>
  <c r="I13" i="81" s="1"/>
  <c r="E9" i="81"/>
  <c r="I9" i="81" s="1"/>
  <c r="E7" i="81"/>
  <c r="I7" i="81" s="1"/>
  <c r="I75" i="81"/>
  <c r="E73" i="81"/>
  <c r="E70" i="81"/>
  <c r="E52" i="81"/>
  <c r="I21" i="81" l="1"/>
  <c r="I23" i="81"/>
  <c r="E34" i="80" l="1"/>
  <c r="I34" i="80" s="1"/>
  <c r="E32" i="80"/>
  <c r="I32" i="80" s="1"/>
  <c r="E30" i="80"/>
  <c r="I30" i="80" s="1"/>
  <c r="E28" i="80"/>
  <c r="I28" i="80" s="1"/>
  <c r="E26" i="80"/>
  <c r="I26" i="80" s="1"/>
  <c r="E25" i="80"/>
  <c r="I25" i="80" s="1"/>
  <c r="E24" i="80"/>
  <c r="I24" i="80" s="1"/>
  <c r="E21" i="80"/>
  <c r="I21" i="80" s="1"/>
  <c r="E19" i="80"/>
  <c r="I19" i="80" s="1"/>
  <c r="E18" i="80"/>
  <c r="I18" i="80" s="1"/>
  <c r="E17" i="80"/>
  <c r="I17" i="80" s="1"/>
  <c r="E16" i="80"/>
  <c r="I16" i="80" s="1"/>
  <c r="E15" i="80"/>
  <c r="I15" i="80" s="1"/>
  <c r="E14" i="80"/>
  <c r="I14" i="80" s="1"/>
  <c r="E13" i="80"/>
  <c r="I13" i="80" s="1"/>
  <c r="E12" i="80"/>
  <c r="I12" i="80" s="1"/>
  <c r="E9" i="80"/>
  <c r="I9" i="80" s="1"/>
  <c r="E7" i="80"/>
  <c r="I7" i="80" s="1"/>
  <c r="I77" i="80"/>
  <c r="E75" i="80"/>
  <c r="E51" i="80"/>
  <c r="E57" i="80" s="1"/>
  <c r="I36" i="80" l="1"/>
  <c r="A48" i="68" l="1"/>
  <c r="E19" i="73"/>
  <c r="I19" i="73" s="1"/>
  <c r="E18" i="73"/>
  <c r="I18" i="73" s="1"/>
  <c r="E17" i="73"/>
  <c r="I17" i="73" s="1"/>
  <c r="I77" i="73"/>
  <c r="E72" i="73"/>
  <c r="E75" i="73" s="1"/>
  <c r="E54" i="73"/>
  <c r="E27" i="73"/>
  <c r="I27" i="73" s="1"/>
  <c r="E25" i="73"/>
  <c r="I25" i="73" s="1"/>
  <c r="E23" i="73"/>
  <c r="I23" i="73" s="1"/>
  <c r="E21" i="73"/>
  <c r="I21" i="73" s="1"/>
  <c r="E14" i="73"/>
  <c r="I14" i="73" s="1"/>
  <c r="E10" i="73"/>
  <c r="I10" i="73" s="1"/>
  <c r="E8" i="73"/>
  <c r="I8" i="73" s="1"/>
  <c r="I23" i="68"/>
  <c r="I11" i="68"/>
  <c r="E11" i="84" s="1"/>
  <c r="I11" i="84" l="1"/>
  <c r="I32" i="84" s="1"/>
  <c r="E49" i="84" s="1"/>
  <c r="E28" i="84"/>
  <c r="D11" i="84" s="1"/>
  <c r="E10" i="88"/>
  <c r="E11" i="89"/>
  <c r="E22" i="88"/>
  <c r="I22" i="88" s="1"/>
  <c r="I32" i="88" s="1"/>
  <c r="I36" i="88" s="1"/>
  <c r="E23" i="89"/>
  <c r="I36" i="68"/>
  <c r="E11" i="87"/>
  <c r="E10" i="86"/>
  <c r="E10" i="85"/>
  <c r="E9" i="83"/>
  <c r="E11" i="82"/>
  <c r="E11" i="81"/>
  <c r="E11" i="80"/>
  <c r="E34" i="85"/>
  <c r="I34" i="85" s="1"/>
  <c r="E34" i="86"/>
  <c r="I34" i="86" s="1"/>
  <c r="E35" i="87"/>
  <c r="I35" i="87" s="1"/>
  <c r="E36" i="83"/>
  <c r="I36" i="83" s="1"/>
  <c r="E35" i="82"/>
  <c r="I35" i="82" s="1"/>
  <c r="E27" i="81"/>
  <c r="I27" i="81" s="1"/>
  <c r="E38" i="80"/>
  <c r="I38" i="80" s="1"/>
  <c r="I40" i="80" s="1"/>
  <c r="E16" i="73"/>
  <c r="E23" i="87"/>
  <c r="I23" i="87" s="1"/>
  <c r="E22" i="85"/>
  <c r="I22" i="85" s="1"/>
  <c r="E22" i="86"/>
  <c r="I22" i="86" s="1"/>
  <c r="E21" i="83"/>
  <c r="E23" i="82"/>
  <c r="E15" i="81"/>
  <c r="E23" i="80"/>
  <c r="E31" i="73"/>
  <c r="I31" i="73" s="1"/>
  <c r="E12" i="73"/>
  <c r="I12" i="73" s="1"/>
  <c r="I38" i="68"/>
  <c r="I36" i="86" l="1"/>
  <c r="E53" i="86" s="1"/>
  <c r="E57" i="86" s="1"/>
  <c r="F60" i="86" s="1"/>
  <c r="H49" i="84"/>
  <c r="E55" i="84"/>
  <c r="F58" i="84" s="1"/>
  <c r="I36" i="85"/>
  <c r="E54" i="85" s="1"/>
  <c r="E58" i="85" s="1"/>
  <c r="F61" i="85" s="1"/>
  <c r="I37" i="87"/>
  <c r="E55" i="87" s="1"/>
  <c r="E61" i="87" s="1"/>
  <c r="F64" i="87" s="1"/>
  <c r="D20" i="84"/>
  <c r="D9" i="84"/>
  <c r="D15" i="84"/>
  <c r="D26" i="84"/>
  <c r="D22" i="84"/>
  <c r="D13" i="84"/>
  <c r="D24" i="84"/>
  <c r="D7" i="84"/>
  <c r="E32" i="88"/>
  <c r="D10" i="88" s="1"/>
  <c r="H11" i="68"/>
  <c r="E36" i="89"/>
  <c r="D11" i="89" s="1"/>
  <c r="E55" i="88"/>
  <c r="F57" i="88"/>
  <c r="E68" i="68"/>
  <c r="F68" i="68"/>
  <c r="H32" i="68"/>
  <c r="H21" i="68"/>
  <c r="H30" i="68"/>
  <c r="H28" i="68"/>
  <c r="H9" i="68"/>
  <c r="H34" i="68"/>
  <c r="H7" i="68"/>
  <c r="H23" i="68"/>
  <c r="I55" i="87"/>
  <c r="G53" i="86"/>
  <c r="I11" i="81"/>
  <c r="I15" i="81"/>
  <c r="G54" i="85"/>
  <c r="E33" i="82"/>
  <c r="D23" i="82" s="1"/>
  <c r="E33" i="87"/>
  <c r="D11" i="87" s="1"/>
  <c r="E32" i="85"/>
  <c r="D10" i="85" s="1"/>
  <c r="E32" i="86"/>
  <c r="D10" i="86" s="1"/>
  <c r="E25" i="81"/>
  <c r="E36" i="80"/>
  <c r="D11" i="80" s="1"/>
  <c r="I23" i="82"/>
  <c r="I33" i="82" s="1"/>
  <c r="I37" i="82" s="1"/>
  <c r="F57" i="80"/>
  <c r="E55" i="80"/>
  <c r="E59" i="80" s="1"/>
  <c r="F62" i="80" s="1"/>
  <c r="H9" i="83"/>
  <c r="E34" i="83"/>
  <c r="D9" i="83" s="1"/>
  <c r="I29" i="73"/>
  <c r="I33" i="73" s="1"/>
  <c r="F53" i="73" s="1"/>
  <c r="D27" i="73"/>
  <c r="E29" i="73"/>
  <c r="D6" i="88" l="1"/>
  <c r="D28" i="88"/>
  <c r="D20" i="88"/>
  <c r="D30" i="88"/>
  <c r="D28" i="84"/>
  <c r="D22" i="88"/>
  <c r="D24" i="88"/>
  <c r="D8" i="88"/>
  <c r="D26" i="88"/>
  <c r="F66" i="84"/>
  <c r="F73" i="84"/>
  <c r="F70" i="84"/>
  <c r="F69" i="84"/>
  <c r="F61" i="84"/>
  <c r="F68" i="84"/>
  <c r="F64" i="84"/>
  <c r="F74" i="84"/>
  <c r="F65" i="84"/>
  <c r="F72" i="84"/>
  <c r="F62" i="84"/>
  <c r="F67" i="84"/>
  <c r="F63" i="84"/>
  <c r="D30" i="89"/>
  <c r="D28" i="89"/>
  <c r="D21" i="89"/>
  <c r="D32" i="89"/>
  <c r="D9" i="89"/>
  <c r="D34" i="89"/>
  <c r="D7" i="89"/>
  <c r="E94" i="89"/>
  <c r="D23" i="89"/>
  <c r="D32" i="88"/>
  <c r="F61" i="88"/>
  <c r="E61" i="88"/>
  <c r="E60" i="88"/>
  <c r="E59" i="88"/>
  <c r="D11" i="82"/>
  <c r="H36" i="68"/>
  <c r="H38" i="68"/>
  <c r="D22" i="85"/>
  <c r="D17" i="81"/>
  <c r="D23" i="81"/>
  <c r="D13" i="81"/>
  <c r="D19" i="81"/>
  <c r="D21" i="81"/>
  <c r="D7" i="81"/>
  <c r="D9" i="81"/>
  <c r="D25" i="87"/>
  <c r="D21" i="87"/>
  <c r="D29" i="87"/>
  <c r="D7" i="87"/>
  <c r="D9" i="87"/>
  <c r="D27" i="87"/>
  <c r="D31" i="87"/>
  <c r="F75" i="86"/>
  <c r="F71" i="86"/>
  <c r="F65" i="86"/>
  <c r="F69" i="86"/>
  <c r="F72" i="86"/>
  <c r="F63" i="86"/>
  <c r="F64" i="86"/>
  <c r="F74" i="86"/>
  <c r="F67" i="86"/>
  <c r="F66" i="86"/>
  <c r="F70" i="86"/>
  <c r="F68" i="86"/>
  <c r="F69" i="85"/>
  <c r="F66" i="85"/>
  <c r="F68" i="85"/>
  <c r="F64" i="85"/>
  <c r="F76" i="85"/>
  <c r="F70" i="85"/>
  <c r="F72" i="85"/>
  <c r="F71" i="85"/>
  <c r="F75" i="85"/>
  <c r="F73" i="85"/>
  <c r="F67" i="85"/>
  <c r="F65" i="85"/>
  <c r="D23" i="87"/>
  <c r="D21" i="83"/>
  <c r="D28" i="83"/>
  <c r="D7" i="83"/>
  <c r="D30" i="83"/>
  <c r="D5" i="83"/>
  <c r="D26" i="83"/>
  <c r="D32" i="83"/>
  <c r="D19" i="83"/>
  <c r="F72" i="80"/>
  <c r="F67" i="80"/>
  <c r="F73" i="80"/>
  <c r="F68" i="80"/>
  <c r="F74" i="80"/>
  <c r="F65" i="80"/>
  <c r="F69" i="80"/>
  <c r="F70" i="80"/>
  <c r="F71" i="80"/>
  <c r="F66" i="80"/>
  <c r="E57" i="82"/>
  <c r="F59" i="82"/>
  <c r="D30" i="86"/>
  <c r="D20" i="86"/>
  <c r="D6" i="86"/>
  <c r="D8" i="86"/>
  <c r="D24" i="86"/>
  <c r="D26" i="86"/>
  <c r="D28" i="86"/>
  <c r="D22" i="86"/>
  <c r="D11" i="81"/>
  <c r="I15" i="83"/>
  <c r="I9" i="83"/>
  <c r="I12" i="83"/>
  <c r="G16" i="83"/>
  <c r="H17" i="83"/>
  <c r="H16" i="83"/>
  <c r="I14" i="83"/>
  <c r="H14" i="83"/>
  <c r="D21" i="80"/>
  <c r="D34" i="80"/>
  <c r="D9" i="80"/>
  <c r="D7" i="80"/>
  <c r="D30" i="80"/>
  <c r="D32" i="80"/>
  <c r="D28" i="80"/>
  <c r="D8" i="85"/>
  <c r="D6" i="85"/>
  <c r="D26" i="85"/>
  <c r="D30" i="85"/>
  <c r="D24" i="85"/>
  <c r="D28" i="85"/>
  <c r="D20" i="85"/>
  <c r="D29" i="82"/>
  <c r="D31" i="82"/>
  <c r="D25" i="82"/>
  <c r="D27" i="82"/>
  <c r="D21" i="82"/>
  <c r="D7" i="82"/>
  <c r="D9" i="82"/>
  <c r="D15" i="81"/>
  <c r="I25" i="81"/>
  <c r="I29" i="81" s="1"/>
  <c r="D23" i="80"/>
  <c r="F74" i="87"/>
  <c r="F78" i="87"/>
  <c r="F66" i="87"/>
  <c r="F69" i="87"/>
  <c r="F71" i="87"/>
  <c r="F77" i="87"/>
  <c r="F68" i="87"/>
  <c r="F73" i="87"/>
  <c r="F70" i="87"/>
  <c r="F75" i="87"/>
  <c r="F72" i="87"/>
  <c r="F67" i="87"/>
  <c r="E52" i="73"/>
  <c r="D14" i="73"/>
  <c r="D21" i="73"/>
  <c r="D8" i="73"/>
  <c r="D25" i="73"/>
  <c r="D16" i="73"/>
  <c r="D12" i="73"/>
  <c r="D23" i="73"/>
  <c r="D10" i="73"/>
  <c r="F71" i="84" l="1"/>
  <c r="F75" i="84" s="1"/>
  <c r="I75" i="84" s="1"/>
  <c r="I79" i="84" s="1"/>
  <c r="E61" i="82"/>
  <c r="F63" i="82" s="1"/>
  <c r="F77" i="82" s="1"/>
  <c r="I17" i="83"/>
  <c r="I34" i="83" s="1"/>
  <c r="I38" i="83" s="1"/>
  <c r="E58" i="83" s="1"/>
  <c r="D36" i="89"/>
  <c r="F82" i="88"/>
  <c r="F71" i="88"/>
  <c r="F81" i="88"/>
  <c r="F76" i="88"/>
  <c r="F68" i="88"/>
  <c r="F83" i="88"/>
  <c r="F78" i="88"/>
  <c r="F69" i="88"/>
  <c r="F74" i="88"/>
  <c r="F75" i="88"/>
  <c r="F67" i="88"/>
  <c r="F84" i="88"/>
  <c r="F72" i="88"/>
  <c r="F70" i="88"/>
  <c r="F79" i="88"/>
  <c r="F73" i="88"/>
  <c r="F85" i="88"/>
  <c r="F80" i="88"/>
  <c r="F73" i="86"/>
  <c r="F76" i="86" s="1"/>
  <c r="I76" i="86" s="1"/>
  <c r="I80" i="86" s="1"/>
  <c r="D34" i="83"/>
  <c r="D32" i="85"/>
  <c r="F74" i="85"/>
  <c r="F77" i="85" s="1"/>
  <c r="I77" i="85" s="1"/>
  <c r="I81" i="85" s="1"/>
  <c r="D33" i="82"/>
  <c r="D36" i="80"/>
  <c r="D33" i="87"/>
  <c r="F76" i="87"/>
  <c r="F79" i="87" s="1"/>
  <c r="F49" i="81"/>
  <c r="E48" i="81"/>
  <c r="E50" i="81" s="1"/>
  <c r="E54" i="81" s="1"/>
  <c r="F57" i="81" s="1"/>
  <c r="D32" i="86"/>
  <c r="D25" i="81"/>
  <c r="F75" i="80"/>
  <c r="I75" i="80" s="1"/>
  <c r="I79" i="80" s="1"/>
  <c r="I50" i="68" s="1"/>
  <c r="E56" i="73"/>
  <c r="F59" i="73" s="1"/>
  <c r="D29" i="73"/>
  <c r="I79" i="87" l="1"/>
  <c r="I83" i="87" s="1"/>
  <c r="I81" i="84"/>
  <c r="I84" i="84" s="1"/>
  <c r="I54" i="68"/>
  <c r="F71" i="82"/>
  <c r="F75" i="82"/>
  <c r="F67" i="82"/>
  <c r="F73" i="82"/>
  <c r="F74" i="82"/>
  <c r="F68" i="82"/>
  <c r="F72" i="82"/>
  <c r="F78" i="82"/>
  <c r="F69" i="82"/>
  <c r="F70" i="82"/>
  <c r="F66" i="82"/>
  <c r="E61" i="83"/>
  <c r="F65" i="83" s="1"/>
  <c r="I62" i="83"/>
  <c r="F63" i="83"/>
  <c r="E62" i="83"/>
  <c r="E63" i="83"/>
  <c r="F77" i="88"/>
  <c r="F86" i="88" s="1"/>
  <c r="E50" i="68"/>
  <c r="F50" i="68"/>
  <c r="I83" i="85"/>
  <c r="I86" i="85" s="1"/>
  <c r="F91" i="85" s="1"/>
  <c r="I60" i="68"/>
  <c r="I82" i="86"/>
  <c r="I85" i="86" s="1"/>
  <c r="I62" i="68"/>
  <c r="I81" i="80"/>
  <c r="I84" i="80" s="1"/>
  <c r="F69" i="81"/>
  <c r="F61" i="81"/>
  <c r="F68" i="81"/>
  <c r="F60" i="81"/>
  <c r="F67" i="81"/>
  <c r="F72" i="81"/>
  <c r="F66" i="81"/>
  <c r="F65" i="81"/>
  <c r="F64" i="81"/>
  <c r="F63" i="81"/>
  <c r="F71" i="81"/>
  <c r="F62" i="81"/>
  <c r="F67" i="73"/>
  <c r="F73" i="73"/>
  <c r="F74" i="73"/>
  <c r="F63" i="73"/>
  <c r="F65" i="73"/>
  <c r="F69" i="73"/>
  <c r="F64" i="73"/>
  <c r="F62" i="73"/>
  <c r="F68" i="73"/>
  <c r="F70" i="73"/>
  <c r="F66" i="73"/>
  <c r="F71" i="73"/>
  <c r="I64" i="68" l="1"/>
  <c r="I85" i="87"/>
  <c r="I88" i="87" s="1"/>
  <c r="E93" i="87" s="1"/>
  <c r="F79" i="83"/>
  <c r="F85" i="83"/>
  <c r="F89" i="84"/>
  <c r="I85" i="84"/>
  <c r="I87" i="84" s="1"/>
  <c r="F76" i="82"/>
  <c r="F71" i="83"/>
  <c r="F69" i="83"/>
  <c r="F84" i="83"/>
  <c r="F81" i="83"/>
  <c r="F72" i="83"/>
  <c r="F73" i="83"/>
  <c r="F76" i="83"/>
  <c r="F68" i="83"/>
  <c r="F77" i="83"/>
  <c r="F70" i="83"/>
  <c r="F74" i="83"/>
  <c r="F75" i="83"/>
  <c r="F80" i="83"/>
  <c r="I87" i="85"/>
  <c r="I89" i="85" s="1"/>
  <c r="I86" i="88"/>
  <c r="I90" i="88" s="1"/>
  <c r="I66" i="68" s="1"/>
  <c r="F90" i="86"/>
  <c r="I86" i="86"/>
  <c r="I88" i="86" s="1"/>
  <c r="F62" i="68"/>
  <c r="E62" i="68"/>
  <c r="E60" i="68"/>
  <c r="F60" i="68"/>
  <c r="E89" i="80"/>
  <c r="I85" i="80"/>
  <c r="I87" i="80" s="1"/>
  <c r="F70" i="81"/>
  <c r="F73" i="81" s="1"/>
  <c r="F72" i="73"/>
  <c r="F75" i="73" s="1"/>
  <c r="I89" i="87" l="1"/>
  <c r="I91" i="87" s="1"/>
  <c r="F79" i="82"/>
  <c r="I79" i="82" s="1"/>
  <c r="I83" i="82" s="1"/>
  <c r="E64" i="68"/>
  <c r="F64" i="68"/>
  <c r="F78" i="83"/>
  <c r="F87" i="83" s="1"/>
  <c r="I87" i="83" s="1"/>
  <c r="I91" i="83" s="1"/>
  <c r="E66" i="68"/>
  <c r="F66" i="68"/>
  <c r="I75" i="73"/>
  <c r="I79" i="73" s="1"/>
  <c r="I73" i="81"/>
  <c r="I77" i="81" s="1"/>
  <c r="I92" i="88"/>
  <c r="I95" i="88" s="1"/>
  <c r="F54" i="68"/>
  <c r="E54" i="68"/>
  <c r="I85" i="82" l="1"/>
  <c r="I88" i="82" s="1"/>
  <c r="E93" i="82" s="1"/>
  <c r="I58" i="68"/>
  <c r="F58" i="68" s="1"/>
  <c r="I96" i="88"/>
  <c r="I98" i="88" s="1"/>
  <c r="E100" i="88"/>
  <c r="I79" i="81"/>
  <c r="I82" i="81" s="1"/>
  <c r="I83" i="81" s="1"/>
  <c r="I85" i="81" s="1"/>
  <c r="I56" i="68"/>
  <c r="I93" i="83"/>
  <c r="I52" i="68"/>
  <c r="I89" i="82"/>
  <c r="I91" i="82" s="1"/>
  <c r="I81" i="73"/>
  <c r="I48" i="68"/>
  <c r="E58" i="68" l="1"/>
  <c r="I96" i="83"/>
  <c r="I97" i="83" s="1"/>
  <c r="I98" i="83" s="1"/>
  <c r="I72" i="68"/>
  <c r="E87" i="81"/>
  <c r="I70" i="68"/>
  <c r="F48" i="68"/>
  <c r="E48" i="68"/>
  <c r="E56" i="68"/>
  <c r="F56" i="68"/>
  <c r="E52" i="68"/>
  <c r="F52" i="68"/>
  <c r="I83" i="73"/>
  <c r="I85" i="73" s="1"/>
  <c r="I87" i="73" s="1"/>
  <c r="E93" i="73" s="1"/>
  <c r="E99" i="83" l="1"/>
  <c r="I75" i="68"/>
  <c r="I79" i="68" s="1"/>
  <c r="I89" i="73"/>
  <c r="I91" i="73" s="1"/>
  <c r="I81" i="68" l="1"/>
  <c r="H75" i="68"/>
  <c r="I87" i="68"/>
  <c r="I77" i="68"/>
  <c r="I85" i="68" l="1"/>
  <c r="E91" i="68" s="1"/>
  <c r="I89" i="68" l="1"/>
</calcChain>
</file>

<file path=xl/sharedStrings.xml><?xml version="1.0" encoding="utf-8"?>
<sst xmlns="http://schemas.openxmlformats.org/spreadsheetml/2006/main" count="972" uniqueCount="261">
  <si>
    <t>Kosten nach ÖNORM B1801-1</t>
  </si>
  <si>
    <r>
      <rPr>
        <b/>
        <sz val="8"/>
        <color rgb="FF000000"/>
        <rFont val="Arial"/>
        <family val="2"/>
      </rPr>
      <t xml:space="preserve">Generalplaner Leitung 2.a </t>
    </r>
    <r>
      <rPr>
        <sz val="8"/>
        <color indexed="8"/>
        <rFont val="Arial"/>
        <family val="2"/>
      </rPr>
      <t xml:space="preserve">
nach VM.GP.2023</t>
    </r>
  </si>
  <si>
    <t>ERK %</t>
  </si>
  <si>
    <t>Errichtungskosten in €</t>
  </si>
  <si>
    <t>AUFSCHLIESSUNG</t>
  </si>
  <si>
    <t>BAUWERK – ROHBAU</t>
  </si>
  <si>
    <t>BAUWERK – TECHNIK</t>
  </si>
  <si>
    <t>.01</t>
  </si>
  <si>
    <t>Abwasser-, Wasser-, Gasanlagen</t>
  </si>
  <si>
    <t>.02</t>
  </si>
  <si>
    <t>Wärme- und Kälteversorgungsanlagen</t>
  </si>
  <si>
    <t>.03</t>
  </si>
  <si>
    <t>Lufttechnische Anlagen</t>
  </si>
  <si>
    <t>.04</t>
  </si>
  <si>
    <t>Starkstrom - Elektroanlagen</t>
  </si>
  <si>
    <t>.05</t>
  </si>
  <si>
    <t>Fernmelde-, IT- und Sicherheitsanlagen</t>
  </si>
  <si>
    <t>.06</t>
  </si>
  <si>
    <t>Fördertechnische Anlagen</t>
  </si>
  <si>
    <t>.07</t>
  </si>
  <si>
    <t>Nutzungsspezifische Anlagen</t>
  </si>
  <si>
    <t>.08</t>
  </si>
  <si>
    <t>Gebäudeautomation</t>
  </si>
  <si>
    <t>BAUWERK – AUSBAU</t>
  </si>
  <si>
    <t>EINRICHTUNG</t>
  </si>
  <si>
    <t>Einbaumöbel</t>
  </si>
  <si>
    <t>Serienmöbel</t>
  </si>
  <si>
    <t>Nutzungsspezifische Ausstattung</t>
  </si>
  <si>
    <t>AUSSENANLAGEN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</si>
  <si>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</si>
  <si>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t>NEBENKOSTEN</t>
  </si>
  <si>
    <t>RESERVEN</t>
  </si>
  <si>
    <t>BAUWERKSKOSTEN (KGR 2 - 4)</t>
  </si>
  <si>
    <t>ERRICHTUNGSKOSTEN (KGR 1 - 9)</t>
  </si>
  <si>
    <t>mitzuverarbeitende Bausubstanz (Umbau)</t>
  </si>
  <si>
    <t>Zusammenstellung der Planungsleistungen</t>
  </si>
  <si>
    <t>%-Anteil BWK</t>
  </si>
  <si>
    <t>%-Anteil ERK</t>
  </si>
  <si>
    <t>Technische Ausrüstung nach VM.TA.2023</t>
  </si>
  <si>
    <t>Summe Generalplaner gesamt (GP 2a + PL + ÖBA) ohne Nebenkosten</t>
  </si>
  <si>
    <t>zzgl. Nebenkosten</t>
  </si>
  <si>
    <t>Summe Generalplaner  gesamt (GP 2a + PL + ÖBA) netto inkl. NK</t>
  </si>
  <si>
    <t>Anteil an ERK:</t>
  </si>
  <si>
    <t>Zuschlag für Haftungsrisiken (Wagnis)</t>
  </si>
  <si>
    <r>
      <t xml:space="preserve">Zuschlag für Versicherung </t>
    </r>
    <r>
      <rPr>
        <sz val="10"/>
        <color indexed="23"/>
        <rFont val="Arial"/>
        <family val="2"/>
      </rPr>
      <t>(max. Höhe d. Versicherungsleistung:</t>
    </r>
  </si>
  <si>
    <t>3,0 Mio. 2 x p.a.)</t>
  </si>
  <si>
    <t>Zuschlag für Ausfallskosten bei Insolvenzen</t>
  </si>
  <si>
    <t>Summe Generalplaner  gesamt (GP 2a + PL + ÖBA) netto inkl. NK, Zuschläge</t>
  </si>
  <si>
    <t>zzgl. MWSt.</t>
  </si>
  <si>
    <t xml:space="preserve">Summe Generalplaner  gesamt (GP 2b + PL + ÖBA) brutto </t>
  </si>
  <si>
    <t>Prozentanteil an Errichtungskosten</t>
  </si>
  <si>
    <t>Ermittlung Bemessungsgrundlage (BMGL)</t>
  </si>
  <si>
    <t>BMGL %</t>
  </si>
  <si>
    <t>BMGL in €</t>
  </si>
  <si>
    <t>PLANUNGSLEISTUNGEN</t>
  </si>
  <si>
    <t xml:space="preserve">NEBENKOSTEN </t>
  </si>
  <si>
    <t>ERRICHTUNGSKOSTEN</t>
  </si>
  <si>
    <t>mitzuverarbeitende Bausubstanz</t>
  </si>
  <si>
    <t>BEMESSUNGSGRUNDLAGE</t>
  </si>
  <si>
    <t xml:space="preserve">GP2a nach VM.GP.2023 </t>
  </si>
  <si>
    <t>gewählt</t>
  </si>
  <si>
    <t>mögl Punkte</t>
  </si>
  <si>
    <t>gering          durchschnitt.          hoch</t>
  </si>
  <si>
    <t>(A) Vielfalt der Besonderheiten in den Projektinhalten</t>
  </si>
  <si>
    <t>1 bis 25</t>
  </si>
  <si>
    <t>(B) Komplexität der Projektorganisation</t>
  </si>
  <si>
    <t>1 bis 5</t>
  </si>
  <si>
    <t>(C) Risiko bei der Projektrealisierung</t>
  </si>
  <si>
    <t>(D) Termin und Kostenanforderungen</t>
  </si>
  <si>
    <t>Projekt über 100 Mio €</t>
  </si>
  <si>
    <t>0 bis 5</t>
  </si>
  <si>
    <t>mehr als 20 Nutzer, Planungsbeteiligte</t>
  </si>
  <si>
    <t>0 bis 3</t>
  </si>
  <si>
    <t>starke terminliche Verdichtung</t>
  </si>
  <si>
    <t xml:space="preserve">mehr als 50 Ausführungsbeteiligte 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</si>
  <si>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</si>
  <si>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Vergütungsermittlung</t>
  </si>
  <si>
    <t>Bemessungsgrundlage: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</si>
  <si>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</si>
  <si>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%-Satz für GPa [h</t>
    </r>
    <r>
      <rPr>
        <vertAlign val="subscript"/>
        <sz val="9"/>
        <rFont val="Arial"/>
        <family val="2"/>
      </rPr>
      <t>GPa</t>
    </r>
    <r>
      <rPr>
        <sz val="9"/>
        <rFont val="Arial"/>
        <family val="2"/>
      </rPr>
      <t xml:space="preserve"> = </t>
    </r>
    <r>
      <rPr>
        <b/>
        <sz val="9"/>
        <rFont val="Arial"/>
        <family val="2"/>
      </rPr>
      <t>1,75</t>
    </r>
    <r>
      <rPr>
        <sz val="9"/>
        <rFont val="Arial"/>
        <family val="2"/>
      </rPr>
      <t xml:space="preserve"> x (-0,0466 x LN(BMGL) + 1,213) x f</t>
    </r>
    <r>
      <rPr>
        <vertAlign val="subscript"/>
        <sz val="9"/>
        <rFont val="Arial"/>
        <family val="2"/>
      </rPr>
      <t>bw</t>
    </r>
    <r>
      <rPr>
        <sz val="9"/>
        <rFont val="Arial"/>
        <family val="2"/>
      </rPr>
      <t>]</t>
    </r>
  </si>
  <si>
    <t>(PL + ÖBA)</t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</si>
  <si>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</si>
  <si>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t>Umbauzuschlag nach GP.11</t>
  </si>
  <si>
    <r>
      <t>Vergütung VGPa = BMGL x 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x Umbauzuschlag x f</t>
    </r>
    <r>
      <rPr>
        <vertAlign val="subscript"/>
        <sz val="10"/>
        <rFont val="Arial"/>
        <family val="2"/>
      </rPr>
      <t>LPH</t>
    </r>
  </si>
  <si>
    <t>LM.VM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</si>
  <si>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</si>
  <si>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</si>
  <si>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</si>
  <si>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</si>
  <si>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</si>
  <si>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</si>
  <si>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</si>
  <si>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</si>
  <si>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</si>
  <si>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</si>
  <si>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d. beauftr.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</si>
  <si>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t>Zusatz Nachweise der Nachhaltigkeit</t>
  </si>
  <si>
    <t>Zusatz GP-Koordination Standardraumbuch</t>
  </si>
  <si>
    <t>Stundenpool (optionale Leistungen)</t>
  </si>
  <si>
    <t>Summe Generalplaner Leitung ohne Nebenkosten</t>
  </si>
  <si>
    <t>Summe Generalplaner Leitung inkl. NK ohne NL</t>
  </si>
  <si>
    <t>Nachlass / Aufschlag</t>
  </si>
  <si>
    <t>Summe Generalplaner Leitung netto inkl. NK und NL</t>
  </si>
  <si>
    <t xml:space="preserve">Summe Generalplaner Leitung brutto </t>
  </si>
  <si>
    <r>
      <rPr>
        <b/>
        <sz val="8"/>
        <color rgb="FF000000"/>
        <rFont val="Arial"/>
        <family val="2"/>
      </rPr>
      <t xml:space="preserve">Planungs- und Baukoordination   </t>
    </r>
    <r>
      <rPr>
        <sz val="8"/>
        <color indexed="8"/>
        <rFont val="Arial"/>
        <family val="2"/>
      </rPr>
      <t xml:space="preserve">                          nach VM.BKG.2023</t>
    </r>
  </si>
  <si>
    <t xml:space="preserve">BauKG nach VM.BKG.2023 </t>
  </si>
  <si>
    <t>Anforderungsmerkmale/Bewertungspunkte</t>
  </si>
  <si>
    <t>gering        durchschnitt.          hoch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</si>
  <si>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0,02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+ 0,92]</t>
    </r>
  </si>
  <si>
    <r>
      <t>%-Satz für BKG 2.b, 2.c [h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= (4,60 x (BMGL)</t>
    </r>
    <r>
      <rPr>
        <vertAlign val="superscript"/>
        <sz val="10"/>
        <rFont val="Arial"/>
        <family val="2"/>
      </rPr>
      <t>(-0,15)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</si>
  <si>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BKG.11</t>
  </si>
  <si>
    <r>
      <t>Vergütung VBKG = BMGL x 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</si>
  <si>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LPH 1 Grundlagenermittlung</t>
  </si>
  <si>
    <t>LPH 7 Begleitung der Bauausführung</t>
  </si>
  <si>
    <t>LPH 8 Baustellenkoordination</t>
  </si>
  <si>
    <t>LPH 9 Objektbetreuung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</si>
  <si>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</si>
  <si>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t>Summe BauKG Planungs- und Baukoordination ohne Nebenkosten</t>
  </si>
  <si>
    <t>Summe BauKG Planungs- und Baukoordination netto inkl. NK</t>
  </si>
  <si>
    <t>Summe BauKG Planungs- und Baukoordination brutto</t>
  </si>
  <si>
    <t>Prozentanteil an Errichtungskosten (netto, inkl. NK)</t>
  </si>
  <si>
    <r>
      <rPr>
        <b/>
        <sz val="8"/>
        <color indexed="8"/>
        <rFont val="Arial"/>
        <family val="2"/>
      </rPr>
      <t xml:space="preserve">Objektplanung Architekt
</t>
    </r>
    <r>
      <rPr>
        <sz val="8"/>
        <color indexed="8"/>
        <rFont val="Arial"/>
        <family val="2"/>
      </rPr>
      <t>nach VM.OA.2023</t>
    </r>
  </si>
  <si>
    <t>wenn KGR3 &gt; 50% von KGR2 + KGR4 → Abminderung BMGL KGR3</t>
  </si>
  <si>
    <t>wenn KGR 3 &lt; 50% von KGR 2 + KGR 4 → KGR 3 fließt zu 100% in BMGL ein</t>
  </si>
  <si>
    <t>KGR 2 + KGR 4 =</t>
  </si>
  <si>
    <t>50% =</t>
  </si>
  <si>
    <r>
      <t xml:space="preserve">PLANUNGSLEISTUNGEN </t>
    </r>
    <r>
      <rPr>
        <sz val="10"/>
        <color indexed="8"/>
        <rFont val="Arial"/>
        <family val="2"/>
      </rPr>
      <t>(GP)</t>
    </r>
  </si>
  <si>
    <r>
      <t xml:space="preserve">mitzuverarbeitende Bausubstanz (Umbau) – </t>
    </r>
    <r>
      <rPr>
        <b/>
        <sz val="10"/>
        <color rgb="FF000000"/>
        <rFont val="Arial"/>
        <family val="2"/>
      </rPr>
      <t xml:space="preserve"> BAU</t>
    </r>
  </si>
  <si>
    <t>Objektplanung Architektur nach VM.OA.2023</t>
  </si>
  <si>
    <t>6 bis 42</t>
  </si>
  <si>
    <t>Projekte über 100 Mio €</t>
  </si>
  <si>
    <t>0 bis 4</t>
  </si>
  <si>
    <t>mehr als 50 Ausführungsbeteiligte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</si>
  <si>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</si>
  <si>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t>%-Satz für OA (Planung + ÖBA)</t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</si>
  <si>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</si>
  <si>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</si>
  <si>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AR.18 (2) und OA.11</t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</si>
  <si>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 xml:space="preserve">LPH  </t>
    </r>
    <r>
      <rPr>
        <i/>
        <sz val="10"/>
        <rFont val="Arial"/>
        <family val="2"/>
      </rPr>
      <t>(inkl. Umbauzuschlag)</t>
    </r>
  </si>
  <si>
    <t>LPH 1 Grundlagenanalyse</t>
  </si>
  <si>
    <t>Summe Objektplanung Architekt ohne Nebenkosten</t>
  </si>
  <si>
    <t>Summe Objektplanung Architekt netto inkl. NK</t>
  </si>
  <si>
    <t>Summe Objektplanung Architekt brutto</t>
  </si>
  <si>
    <r>
      <rPr>
        <b/>
        <sz val="8"/>
        <color rgb="FF000000"/>
        <rFont val="Arial"/>
        <family val="2"/>
      </rPr>
      <t xml:space="preserve">Einrichtung-Design
</t>
    </r>
    <r>
      <rPr>
        <sz val="8"/>
        <color indexed="8"/>
        <rFont val="Arial"/>
        <family val="2"/>
      </rPr>
      <t xml:space="preserve"> nach VM.ED.2023</t>
    </r>
  </si>
  <si>
    <t>Serienmöbel  *)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</si>
  <si>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</si>
  <si>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 xml:space="preserve">Einrichtungsplanung-Design nach VM.ED.2023 </t>
  </si>
  <si>
    <t>6 bis 14</t>
  </si>
  <si>
    <t>1 bis 3</t>
  </si>
  <si>
    <t xml:space="preserve">     &lt;-- hier auswählen</t>
  </si>
  <si>
    <t>Umbauzuschlag nach ED.11</t>
  </si>
  <si>
    <r>
      <t>Vergütung VED = BMGL x h</t>
    </r>
    <r>
      <rPr>
        <vertAlign val="subscript"/>
        <sz val="10"/>
        <rFont val="Arial"/>
        <family val="2"/>
      </rPr>
      <t>ED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</si>
  <si>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Zusatz vertiefte Kostenschätzung (vKS)</t>
  </si>
  <si>
    <t>Summe Einrichtungsplanung-Design ohne Nebenkosten</t>
  </si>
  <si>
    <t>Summe Einrichtungsplanung-Design netto inkl. NK</t>
  </si>
  <si>
    <t xml:space="preserve">Summe Einrichtungsplanung-Design brutto </t>
  </si>
  <si>
    <t xml:space="preserve">*) </t>
  </si>
  <si>
    <t xml:space="preserve">für das Angebot wird die BMGL bei Serienmöbeln mit 60% der Errichtungskosten angesetzt. </t>
  </si>
  <si>
    <t>Bei der Abrechnung sind die tabellarischen Abminderungen gemäß VM.ED 7(5) anzuwenden,</t>
  </si>
  <si>
    <t>bei den Errichtungskosten einzutragen und die BMGL auf 100% zu stellen.</t>
  </si>
  <si>
    <t>selbstständiger Auftrag</t>
  </si>
  <si>
    <r>
      <rPr>
        <b/>
        <sz val="8"/>
        <color rgb="FF000000"/>
        <rFont val="Arial"/>
        <family val="2"/>
      </rPr>
      <t xml:space="preserve">Freianlagen </t>
    </r>
    <r>
      <rPr>
        <sz val="8"/>
        <color indexed="8"/>
        <rFont val="Arial"/>
        <family val="2"/>
      </rPr>
      <t xml:space="preserve">
nach VM.FA.2023</t>
    </r>
  </si>
  <si>
    <t>Freianlagen nach VM.FA.2023</t>
  </si>
  <si>
    <t>gänzlich oder teilweise in Eigenregie</t>
  </si>
  <si>
    <t>gänzlich oder teilweise durch Gruppen von Privatpersonen</t>
  </si>
  <si>
    <t>Basis b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</si>
  <si>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0,044 x b</t>
    </r>
    <r>
      <rPr>
        <vertAlign val="subscript"/>
        <sz val="10"/>
        <rFont val="Arial"/>
        <family val="2"/>
      </rPr>
      <t xml:space="preserve">w </t>
    </r>
    <r>
      <rPr>
        <sz val="10"/>
        <rFont val="Arial"/>
        <family val="2"/>
      </rPr>
      <t>+ 0,66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]</t>
    </r>
  </si>
  <si>
    <r>
      <t>%-Satz für FA [h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= b / BMGL x 100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</si>
  <si>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FA.11</t>
  </si>
  <si>
    <r>
      <t>Vergütung VFA = BMGL x 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x Umbauzuschlag x 100 % f</t>
    </r>
    <r>
      <rPr>
        <vertAlign val="subscript"/>
        <sz val="10"/>
        <rFont val="Arial"/>
        <family val="2"/>
      </rPr>
      <t>LPH</t>
    </r>
  </si>
  <si>
    <t>Summe Freianlagen ohne Nebenkosten</t>
  </si>
  <si>
    <t>Summe Freianlagen netto inkl. NK</t>
  </si>
  <si>
    <t xml:space="preserve">Summe Freianlagen brutto </t>
  </si>
  <si>
    <r>
      <rPr>
        <b/>
        <sz val="8"/>
        <color rgb="FF000000"/>
        <rFont val="Arial"/>
        <family val="2"/>
      </rPr>
      <t xml:space="preserve">Tragwerksplanung </t>
    </r>
    <r>
      <rPr>
        <sz val="8"/>
        <color indexed="8"/>
        <rFont val="Arial"/>
        <family val="2"/>
      </rPr>
      <t xml:space="preserve">                            
nach VM.TW.2023</t>
    </r>
  </si>
  <si>
    <t>Tragwerksplanung nach VM.TW.2023</t>
  </si>
  <si>
    <t>8 bis 42</t>
  </si>
  <si>
    <t>über 100 Mio €</t>
  </si>
  <si>
    <t>0 bis 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</si>
  <si>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</si>
  <si>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</si>
  <si>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</si>
  <si>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LPH 5 Ausführungsplanung + Dokumentation</t>
  </si>
  <si>
    <t>LPH 6 Mitwirkung an Ausschreibung</t>
  </si>
  <si>
    <t xml:space="preserve">LPH 7 Begleitung der Bauausführung </t>
  </si>
  <si>
    <t>LPH 8 Bewehrungsabnahmen, Betonprüfung</t>
  </si>
  <si>
    <t>LPH 9 -</t>
  </si>
  <si>
    <t>Summe Tragwerksplanung ohne Nebenkosten</t>
  </si>
  <si>
    <t>Summe Tragwerksplanung netto inkl. NK</t>
  </si>
  <si>
    <t xml:space="preserve">Summe Tragwerksplanung brutto </t>
  </si>
  <si>
    <r>
      <t xml:space="preserve">NEBENKOSTEN </t>
    </r>
    <r>
      <rPr>
        <sz val="10"/>
        <color rgb="FF000000"/>
        <rFont val="Arial"/>
        <family val="2"/>
      </rPr>
      <t>(Bewilligungen, Anschl.gebühren, …)</t>
    </r>
  </si>
  <si>
    <t>Thermische Bauphysik nach VM.BP.2023</t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</si>
  <si>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</si>
  <si>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>]</t>
    </r>
  </si>
  <si>
    <t>Umbauzuschlag nach BP.11</t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</si>
  <si>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</si>
  <si>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 xml:space="preserve">LPH 5 Ausführungsplanung </t>
  </si>
  <si>
    <t xml:space="preserve">          Mitwirkung an der Vergabe</t>
  </si>
  <si>
    <t>LPH 8 Örtliche Bauaufsicht</t>
  </si>
  <si>
    <t>Zusatz Ergebnisse BP in Raumbuch (Standard)</t>
  </si>
  <si>
    <t>Summe Teil Thermische Bauphysik ohne Nebenkosten</t>
  </si>
  <si>
    <t>Summe Thermische Bauphysik netto inkl. NK</t>
  </si>
  <si>
    <t xml:space="preserve">Summe Thermische Bauphysik brutto 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</si>
  <si>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</si>
  <si>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Bauphysik Schallschutz nach VM.BP.2023</t>
  </si>
  <si>
    <r>
      <t>Faktor aus Bewertungspunkten [f</t>
    </r>
    <r>
      <rPr>
        <vertAlign val="subscript"/>
        <sz val="10"/>
        <rFont val="Arial"/>
        <family val="2"/>
      </rPr>
      <t>bwS</t>
    </r>
    <r>
      <rPr>
        <sz val="10"/>
        <rFont val="Arial"/>
        <family val="2"/>
      </rPr>
      <t xml:space="preserve"> = 0,013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+ 0,923]</t>
    </r>
  </si>
  <si>
    <r>
      <t>%-Satz für BPS [h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= 506,2538 x (BMGL)</t>
    </r>
    <r>
      <rPr>
        <vertAlign val="superscript"/>
        <sz val="10"/>
        <rFont val="Arial"/>
        <family val="2"/>
      </rPr>
      <t>(-0,5074)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</si>
  <si>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VBPS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</si>
  <si>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Teil Bauphysik Schallschutz ohne Nebenkosten</t>
  </si>
  <si>
    <t>Summe Bauphysik Schallschutz netto inkl. NK</t>
  </si>
  <si>
    <t xml:space="preserve">Summe Bauphysik Schallschutz brutto </t>
  </si>
  <si>
    <t>Bauphysik Raumakustik nach VM.BP.2023</t>
  </si>
  <si>
    <t>Bemessungsgrundlage gesamt:</t>
  </si>
  <si>
    <t xml:space="preserve">Bruttorauminhalt (BRI) gesamt: </t>
  </si>
  <si>
    <t>Bruttorauminhalt (BRI) betrachteter Raum:</t>
  </si>
  <si>
    <r>
      <t>Faktor aus Bewertungspunkten [f</t>
    </r>
    <r>
      <rPr>
        <vertAlign val="subscript"/>
        <sz val="10"/>
        <rFont val="Arial"/>
        <family val="2"/>
      </rPr>
      <t>bwA</t>
    </r>
    <r>
      <rPr>
        <sz val="10"/>
        <rFont val="Arial"/>
        <family val="2"/>
      </rPr>
      <t xml:space="preserve"> = 0,057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+ 0,367]</t>
    </r>
  </si>
  <si>
    <r>
      <t>%-Satz für BPA [h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439,8031 x (BMGL)</t>
    </r>
    <r>
      <rPr>
        <vertAlign val="superscript"/>
        <sz val="10"/>
        <rFont val="Arial"/>
        <family val="2"/>
      </rPr>
      <t>(-0,4760)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</si>
  <si>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BMGL x 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 xml:space="preserve"> / BRI x betrachteter Raum
                                + Umbauzuschlag</t>
    </r>
  </si>
  <si>
    <t>Summe Teil Bauphysik Raumakustik ohne Nebenkosten</t>
  </si>
  <si>
    <t>Summe Bauphysik Raumakustik netto inkl. NK</t>
  </si>
  <si>
    <t xml:space="preserve">Summe Bauphysik Raumakustik brutto </t>
  </si>
  <si>
    <t>Brandschutz nach VM.BR.2023</t>
  </si>
  <si>
    <t>über 100 Mio €, soweit relevant für BR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</si>
  <si>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1,75 x (117,07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bwT)</t>
    </r>
    <r>
      <rPr>
        <sz val="10"/>
        <rFont val="Arial"/>
        <family val="2"/>
      </rPr>
      <t>]</t>
    </r>
  </si>
  <si>
    <t>Summe Brandschutz ohne Nebenkosten</t>
  </si>
  <si>
    <t>Summe Brandschutz netto inkl. NK</t>
  </si>
  <si>
    <t xml:space="preserve">Summe Brandschutz brutto </t>
  </si>
  <si>
    <r>
      <rPr>
        <b/>
        <sz val="8"/>
        <color rgb="FF000000"/>
        <rFont val="Arial"/>
        <family val="2"/>
      </rPr>
      <t xml:space="preserve">Technische Ausrüstung </t>
    </r>
    <r>
      <rPr>
        <sz val="8"/>
        <color indexed="8"/>
        <rFont val="Arial"/>
        <family val="2"/>
      </rPr>
      <t xml:space="preserve">                            nach VM.TA.2023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</si>
  <si>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</si>
  <si>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 xml:space="preserve">%-Satz für TA </t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</si>
  <si>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</si>
  <si>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</si>
  <si>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Umbauzuschlag nach TA.11</t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</si>
  <si>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 xml:space="preserve">LPH </t>
    </r>
  </si>
  <si>
    <t xml:space="preserve">               </t>
  </si>
  <si>
    <t>LPH 8 Fachbauaufsicht + Dokumentation</t>
  </si>
  <si>
    <t>Zusatz Nachweise Nachhaltigkeit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</si>
  <si>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</si>
  <si>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</si>
  <si>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</si>
  <si>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</si>
  <si>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Summe Technische Ausrüstung ohne Nebenkosten</t>
  </si>
  <si>
    <t>Summe Technische Ausrüstung netto inkl. NK</t>
  </si>
  <si>
    <t xml:space="preserve">Summe Technische Ausrüstung brutto </t>
  </si>
  <si>
    <t>gering         durchschnitt.          hoch</t>
  </si>
  <si>
    <t>gering        durchschnitt.           hoch</t>
  </si>
  <si>
    <t>kaufmännische Rundung der Honorare ohne Nachkommastellen</t>
  </si>
  <si>
    <t>kaufmännische Rundung der %-Sätze auf 4 Nachkommastellen</t>
  </si>
  <si>
    <t>in Zusammenhang mit baulichen Planungsleistungen (OA)</t>
  </si>
  <si>
    <t>Umbauzuschlag nach TW.11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</si>
  <si>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)+Zusatz%pkt.</t>
    </r>
  </si>
  <si>
    <t>Bauteilkatalog zusätzlich zum oa. Raumbuch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</si>
  <si>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)+Zusatz%pkt</t>
    </r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</si>
  <si>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</si>
  <si>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r>
      <rPr>
        <b/>
        <sz val="8"/>
        <color rgb="FF000000"/>
        <rFont val="Arial"/>
        <family val="2"/>
      </rPr>
      <t xml:space="preserve">Thermische Bauphysik
</t>
    </r>
    <r>
      <rPr>
        <sz val="8"/>
        <color indexed="8"/>
        <rFont val="Arial"/>
        <family val="2"/>
      </rPr>
      <t>nach VM.BP+NH.2023</t>
    </r>
  </si>
  <si>
    <r>
      <rPr>
        <b/>
        <sz val="8"/>
        <color rgb="FF000000"/>
        <rFont val="Arial"/>
        <family val="2"/>
      </rPr>
      <t xml:space="preserve">Bauphysik Schallschutz </t>
    </r>
    <r>
      <rPr>
        <sz val="8"/>
        <color indexed="8"/>
        <rFont val="Arial"/>
        <family val="2"/>
      </rPr>
      <t xml:space="preserve">                           nach VM.BP+NH.2023</t>
    </r>
  </si>
  <si>
    <r>
      <rPr>
        <b/>
        <sz val="8"/>
        <color rgb="FF000000"/>
        <rFont val="Arial"/>
        <family val="2"/>
      </rPr>
      <t xml:space="preserve">Bauphysik Raumakustik      </t>
    </r>
    <r>
      <rPr>
        <sz val="8"/>
        <color indexed="8"/>
        <rFont val="Arial"/>
        <family val="2"/>
      </rPr>
      <t xml:space="preserve">                      nach VM.BP+NH.2023</t>
    </r>
  </si>
  <si>
    <r>
      <rPr>
        <b/>
        <sz val="8"/>
        <color rgb="FF000000"/>
        <rFont val="Arial"/>
        <family val="2"/>
      </rPr>
      <t xml:space="preserve">Brandschutz </t>
    </r>
    <r>
      <rPr>
        <sz val="8"/>
        <color indexed="8"/>
        <rFont val="Arial"/>
        <family val="2"/>
      </rPr>
      <t xml:space="preserve">                            
nach VM.BR.2023</t>
    </r>
  </si>
  <si>
    <t>Zusatz Ergebnisse BP im RMB + Bauteilkatalog</t>
  </si>
  <si>
    <t>Zusammenstellung / Bearbeitung eines Raumbuches</t>
  </si>
  <si>
    <t>Koordinierung mit PI nach OIB.RL1 (Prüfingenieur)</t>
  </si>
  <si>
    <t>Lean Construction Management in LPH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</si>
</sst>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.00\ &quot;m³&quot;"/>
    <numFmt numFmtId="174" formatCode="#,##0\ &quot;m³&quot;"/>
    <numFmt numFmtId="175" formatCode="0.0"/>
    <numFmt numFmtId="176" formatCode="#,##0\ &quot;h&quot;"/>
    <numFmt numFmtId="177" formatCode="#,##0.00\ &quot;€/h&quot;"/>
    <numFmt numFmtId="178" formatCode="0.0000%"/>
    <numFmt numFmtId="179" formatCode="_-* #,##0_-;\-* #,##0_-;_-* &quot;-&quot;??_-;_-@_-"/>
    <numFmt numFmtId="180" formatCode="#,##0_ ;\-#,##0\ "/>
  </numFmts>
  <fonts count="8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.5"/>
      <color indexed="8"/>
      <name val="Arial"/>
      <family val="2"/>
    </font>
    <font>
      <i/>
      <sz val="9"/>
      <color indexed="8"/>
      <name val="Arial"/>
      <family val="2"/>
    </font>
    <font>
      <i/>
      <sz val="8"/>
      <color indexed="8"/>
      <name val="Arial"/>
      <family val="2"/>
    </font>
    <font>
      <b/>
      <sz val="13"/>
      <name val="Calibri"/>
      <family val="2"/>
    </font>
    <font>
      <vertAlign val="subscript"/>
      <sz val="9"/>
      <name val="Arial"/>
      <family val="2"/>
    </font>
    <font>
      <b/>
      <sz val="9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9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9"/>
      <color theme="0" tint="-0.499984740745262"/>
      <name val="Arial"/>
      <family val="2"/>
    </font>
    <font>
      <b/>
      <sz val="10"/>
      <color theme="0" tint="-4.9989318521683403E-2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8"/>
      <color theme="3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sz val="14"/>
      <color indexed="8"/>
      <name val="Wingdings 3"/>
      <family val="1"/>
      <charset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sz val="7"/>
      <color rgb="FFFF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9"/>
      <color rgb="FF0070C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 style="hair">
        <color theme="0"/>
      </top>
      <bottom style="hair">
        <color indexed="64"/>
      </bottom>
      <diagonal/>
    </border>
    <border>
      <left style="thin">
        <color theme="0"/>
      </left>
      <right/>
      <top/>
      <bottom style="hair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7" applyNumberFormat="0" applyAlignment="0" applyProtection="0"/>
    <xf numFmtId="0" fontId="42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3" fillId="9" borderId="8" applyNumberFormat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46" fillId="11" borderId="0" applyNumberFormat="0" applyBorder="0" applyAlignment="0" applyProtection="0"/>
    <xf numFmtId="0" fontId="13" fillId="0" borderId="0" applyFont="0" applyFill="0" applyBorder="0" applyAlignment="0" applyProtection="0"/>
    <xf numFmtId="0" fontId="47" fillId="12" borderId="0" applyNumberFormat="0" applyBorder="0" applyAlignment="0" applyProtection="0"/>
    <xf numFmtId="0" fontId="39" fillId="13" borderId="10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14" borderId="0" applyNumberFormat="0" applyBorder="0" applyAlignment="0" applyProtection="0"/>
    <xf numFmtId="0" fontId="39" fillId="0" borderId="0"/>
    <xf numFmtId="0" fontId="2" fillId="0" borderId="0"/>
    <xf numFmtId="0" fontId="4" fillId="0" borderId="0"/>
    <xf numFmtId="0" fontId="39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11" applyNumberFormat="0" applyFill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15" borderId="15" applyNumberFormat="0" applyAlignment="0" applyProtection="0"/>
    <xf numFmtId="43" fontId="39" fillId="0" borderId="0" applyFont="0" applyFill="0" applyBorder="0" applyAlignment="0" applyProtection="0"/>
  </cellStyleXfs>
  <cellXfs count="660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10" fontId="15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6" fillId="0" borderId="0" xfId="33" applyFont="1"/>
    <xf numFmtId="0" fontId="6" fillId="0" borderId="0" xfId="33" applyFont="1" applyAlignment="1">
      <alignment horizontal="center"/>
    </xf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0" fontId="0" fillId="0" borderId="0" xfId="0" applyAlignment="1">
      <alignment vertical="top"/>
    </xf>
    <xf numFmtId="10" fontId="5" fillId="0" borderId="0" xfId="33" applyNumberFormat="1" applyFont="1"/>
    <xf numFmtId="0" fontId="9" fillId="0" borderId="0" xfId="33" applyFont="1"/>
    <xf numFmtId="3" fontId="9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0" fontId="6" fillId="0" borderId="2" xfId="33" applyFont="1" applyBorder="1" applyAlignment="1">
      <alignment horizontal="left"/>
    </xf>
    <xf numFmtId="0" fontId="6" fillId="0" borderId="3" xfId="33" applyFont="1" applyBorder="1" applyAlignment="1">
      <alignment horizontal="left"/>
    </xf>
    <xf numFmtId="10" fontId="17" fillId="0" borderId="0" xfId="33" applyNumberFormat="1" applyFont="1" applyAlignment="1">
      <alignment horizontal="left" wrapText="1"/>
    </xf>
    <xf numFmtId="3" fontId="9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9" fontId="2" fillId="0" borderId="4" xfId="30" applyNumberFormat="1" applyBorder="1" applyAlignment="1">
      <alignment horizontal="center"/>
    </xf>
    <xf numFmtId="167" fontId="7" fillId="0" borderId="5" xfId="30" applyNumberFormat="1" applyFont="1" applyBorder="1"/>
    <xf numFmtId="0" fontId="2" fillId="0" borderId="5" xfId="30" applyBorder="1"/>
    <xf numFmtId="0" fontId="11" fillId="0" borderId="0" xfId="30" applyFont="1"/>
    <xf numFmtId="0" fontId="11" fillId="0" borderId="0" xfId="30" applyFont="1" applyAlignment="1">
      <alignment horizontal="right"/>
    </xf>
    <xf numFmtId="166" fontId="11" fillId="0" borderId="0" xfId="30" applyNumberFormat="1" applyFont="1"/>
    <xf numFmtId="0" fontId="18" fillId="16" borderId="0" xfId="33" applyFont="1" applyFill="1"/>
    <xf numFmtId="0" fontId="18" fillId="0" borderId="0" xfId="33" applyFont="1"/>
    <xf numFmtId="9" fontId="2" fillId="0" borderId="5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4" fillId="0" borderId="0" xfId="33" applyNumberFormat="1" applyFont="1" applyAlignment="1">
      <alignment vertical="center"/>
    </xf>
    <xf numFmtId="9" fontId="5" fillId="0" borderId="0" xfId="33" applyNumberFormat="1" applyFont="1" applyAlignment="1">
      <alignment horizontal="right"/>
    </xf>
    <xf numFmtId="10" fontId="15" fillId="0" borderId="0" xfId="33" applyNumberFormat="1" applyFont="1" applyAlignment="1">
      <alignment horizontal="right" vertical="center"/>
    </xf>
    <xf numFmtId="9" fontId="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10" fillId="16" borderId="16" xfId="33" applyNumberFormat="1" applyFont="1" applyFill="1" applyBorder="1" applyAlignment="1">
      <alignment horizontal="left" vertical="center"/>
    </xf>
    <xf numFmtId="0" fontId="10" fillId="16" borderId="16" xfId="33" applyFont="1" applyFill="1" applyBorder="1" applyAlignment="1">
      <alignment vertical="center"/>
    </xf>
    <xf numFmtId="9" fontId="5" fillId="0" borderId="16" xfId="33" applyNumberFormat="1" applyFont="1" applyBorder="1" applyAlignment="1">
      <alignment horizontal="right" vertical="center"/>
    </xf>
    <xf numFmtId="1" fontId="5" fillId="0" borderId="17" xfId="33" applyNumberFormat="1" applyFont="1" applyBorder="1" applyAlignment="1">
      <alignment horizontal="left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9" fontId="5" fillId="0" borderId="17" xfId="33" applyNumberFormat="1" applyFont="1" applyBorder="1" applyAlignment="1">
      <alignment horizontal="right"/>
    </xf>
    <xf numFmtId="1" fontId="5" fillId="0" borderId="18" xfId="33" applyNumberFormat="1" applyFont="1" applyBorder="1" applyAlignment="1">
      <alignment horizontal="left"/>
    </xf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9" fontId="5" fillId="0" borderId="18" xfId="33" applyNumberFormat="1" applyFont="1" applyBorder="1" applyAlignment="1">
      <alignment horizontal="right"/>
    </xf>
    <xf numFmtId="165" fontId="5" fillId="0" borderId="17" xfId="33" applyNumberFormat="1" applyFont="1" applyBorder="1" applyAlignment="1">
      <alignment horizontal="left"/>
    </xf>
    <xf numFmtId="0" fontId="5" fillId="0" borderId="18" xfId="33" applyFont="1" applyBorder="1" applyAlignment="1">
      <alignment horizontal="left"/>
    </xf>
    <xf numFmtId="9" fontId="5" fillId="0" borderId="19" xfId="33" applyNumberFormat="1" applyFont="1" applyBorder="1" applyAlignment="1">
      <alignment horizontal="right"/>
    </xf>
    <xf numFmtId="3" fontId="15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4" fontId="2" fillId="0" borderId="0" xfId="30" applyNumberFormat="1" applyAlignment="1">
      <alignment vertical="center"/>
    </xf>
    <xf numFmtId="3" fontId="2" fillId="16" borderId="0" xfId="30" applyNumberFormat="1" applyFill="1" applyAlignment="1">
      <alignment vertical="center"/>
    </xf>
    <xf numFmtId="173" fontId="2" fillId="0" borderId="0" xfId="30" applyNumberFormat="1" applyAlignment="1">
      <alignment vertical="center"/>
    </xf>
    <xf numFmtId="9" fontId="5" fillId="17" borderId="20" xfId="33" applyNumberFormat="1" applyFont="1" applyFill="1" applyBorder="1" applyAlignment="1" applyProtection="1">
      <alignment horizontal="right"/>
      <protection locked="0"/>
    </xf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6" fillId="0" borderId="19" xfId="33" applyNumberFormat="1" applyFont="1" applyBorder="1" applyAlignment="1">
      <alignment horizontal="right"/>
    </xf>
    <xf numFmtId="0" fontId="10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0" fontId="5" fillId="0" borderId="0" xfId="33" applyFont="1" applyAlignment="1">
      <alignment vertical="center"/>
    </xf>
    <xf numFmtId="0" fontId="23" fillId="0" borderId="0" xfId="30" applyFont="1" applyAlignment="1">
      <alignment vertical="center"/>
    </xf>
    <xf numFmtId="0" fontId="16" fillId="0" borderId="0" xfId="33" applyFont="1" applyAlignment="1">
      <alignment vertical="center"/>
    </xf>
    <xf numFmtId="0" fontId="1" fillId="16" borderId="0" xfId="33" applyFont="1" applyFill="1" applyAlignment="1">
      <alignment horizontal="left" vertical="center"/>
    </xf>
    <xf numFmtId="0" fontId="18" fillId="16" borderId="0" xfId="33" applyFont="1" applyFill="1" applyAlignment="1">
      <alignment vertical="center"/>
    </xf>
    <xf numFmtId="3" fontId="16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56" fillId="0" borderId="0" xfId="30" applyFont="1" applyAlignment="1">
      <alignment vertical="center"/>
    </xf>
    <xf numFmtId="174" fontId="2" fillId="17" borderId="0" xfId="30" applyNumberFormat="1" applyFill="1" applyAlignment="1" applyProtection="1">
      <alignment vertical="center"/>
      <protection locked="0"/>
    </xf>
    <xf numFmtId="0" fontId="57" fillId="0" borderId="0" xfId="33" applyFont="1"/>
    <xf numFmtId="9" fontId="6" fillId="0" borderId="0" xfId="33" applyNumberFormat="1" applyFont="1" applyAlignment="1">
      <alignment horizontal="right" vertical="center"/>
    </xf>
    <xf numFmtId="0" fontId="24" fillId="0" borderId="0" xfId="33" applyFont="1" applyAlignment="1">
      <alignment vertical="center"/>
    </xf>
    <xf numFmtId="166" fontId="25" fillId="0" borderId="0" xfId="30" applyNumberFormat="1" applyFont="1" applyAlignment="1">
      <alignment horizontal="left"/>
    </xf>
    <xf numFmtId="42" fontId="9" fillId="0" borderId="0" xfId="33" applyNumberFormat="1" applyFont="1"/>
    <xf numFmtId="42" fontId="9" fillId="0" borderId="0" xfId="33" applyNumberFormat="1" applyFont="1" applyAlignment="1">
      <alignment horizontal="right"/>
    </xf>
    <xf numFmtId="42" fontId="5" fillId="0" borderId="0" xfId="33" applyNumberFormat="1" applyFont="1" applyAlignment="1">
      <alignment horizontal="right"/>
    </xf>
    <xf numFmtId="1" fontId="9" fillId="0" borderId="16" xfId="33" applyNumberFormat="1" applyFont="1" applyBorder="1" applyAlignment="1">
      <alignment horizontal="left" vertical="center"/>
    </xf>
    <xf numFmtId="164" fontId="9" fillId="0" borderId="16" xfId="33" applyNumberFormat="1" applyFont="1" applyBorder="1" applyAlignment="1">
      <alignment horizontal="left" vertical="center"/>
    </xf>
    <xf numFmtId="0" fontId="9" fillId="0" borderId="16" xfId="33" applyFont="1" applyBorder="1" applyAlignment="1">
      <alignment vertical="center"/>
    </xf>
    <xf numFmtId="42" fontId="9" fillId="0" borderId="16" xfId="33" applyNumberFormat="1" applyFont="1" applyBorder="1"/>
    <xf numFmtId="172" fontId="2" fillId="0" borderId="0" xfId="30" applyNumberFormat="1" applyAlignment="1">
      <alignment horizontal="right"/>
    </xf>
    <xf numFmtId="175" fontId="14" fillId="0" borderId="0" xfId="33" applyNumberFormat="1" applyFont="1" applyAlignment="1">
      <alignment vertical="center"/>
    </xf>
    <xf numFmtId="172" fontId="2" fillId="0" borderId="4" xfId="30" applyNumberFormat="1" applyBorder="1" applyAlignment="1">
      <alignment horizontal="center"/>
    </xf>
    <xf numFmtId="172" fontId="2" fillId="0" borderId="5" xfId="30" applyNumberFormat="1" applyBorder="1" applyAlignment="1">
      <alignment horizontal="center"/>
    </xf>
    <xf numFmtId="0" fontId="2" fillId="16" borderId="0" xfId="30" applyFill="1" applyAlignment="1">
      <alignment horizontal="right"/>
    </xf>
    <xf numFmtId="172" fontId="5" fillId="0" borderId="16" xfId="33" applyNumberFormat="1" applyFont="1" applyBorder="1" applyAlignment="1">
      <alignment horizontal="right" vertical="center"/>
    </xf>
    <xf numFmtId="172" fontId="5" fillId="0" borderId="0" xfId="33" applyNumberFormat="1" applyFont="1" applyAlignment="1">
      <alignment horizontal="right"/>
    </xf>
    <xf numFmtId="172" fontId="5" fillId="0" borderId="17" xfId="33" applyNumberFormat="1" applyFont="1" applyBorder="1" applyAlignment="1">
      <alignment horizontal="right"/>
    </xf>
    <xf numFmtId="172" fontId="5" fillId="0" borderId="18" xfId="33" applyNumberFormat="1" applyFont="1" applyBorder="1" applyAlignment="1">
      <alignment horizontal="right"/>
    </xf>
    <xf numFmtId="172" fontId="5" fillId="0" borderId="0" xfId="33" applyNumberFormat="1" applyFont="1" applyAlignment="1">
      <alignment horizontal="right" vertical="center"/>
    </xf>
    <xf numFmtId="172" fontId="1" fillId="16" borderId="0" xfId="33" applyNumberFormat="1" applyFont="1" applyFill="1"/>
    <xf numFmtId="10" fontId="17" fillId="0" borderId="0" xfId="33" applyNumberFormat="1" applyFont="1" applyAlignment="1">
      <alignment horizontal="right" vertical="center"/>
    </xf>
    <xf numFmtId="3" fontId="17" fillId="0" borderId="0" xfId="33" applyNumberFormat="1" applyFont="1" applyAlignment="1">
      <alignment horizontal="center" vertical="center"/>
    </xf>
    <xf numFmtId="167" fontId="60" fillId="0" borderId="0" xfId="30" applyNumberFormat="1" applyFont="1" applyAlignment="1">
      <alignment horizontal="right"/>
    </xf>
    <xf numFmtId="42" fontId="1" fillId="16" borderId="0" xfId="30" applyNumberFormat="1" applyFont="1" applyFill="1" applyAlignment="1">
      <alignment horizontal="right"/>
    </xf>
    <xf numFmtId="42" fontId="2" fillId="0" borderId="0" xfId="30" applyNumberFormat="1" applyAlignment="1">
      <alignment horizontal="right"/>
    </xf>
    <xf numFmtId="42" fontId="1" fillId="0" borderId="0" xfId="30" applyNumberFormat="1" applyFont="1" applyAlignment="1">
      <alignment horizontal="right"/>
    </xf>
    <xf numFmtId="42" fontId="9" fillId="10" borderId="19" xfId="33" applyNumberFormat="1" applyFont="1" applyFill="1" applyBorder="1"/>
    <xf numFmtId="42" fontId="9" fillId="10" borderId="21" xfId="33" applyNumberFormat="1" applyFont="1" applyFill="1" applyBorder="1"/>
    <xf numFmtId="42" fontId="9" fillId="10" borderId="22" xfId="33" applyNumberFormat="1" applyFont="1" applyFill="1" applyBorder="1"/>
    <xf numFmtId="42" fontId="9" fillId="16" borderId="16" xfId="33" applyNumberFormat="1" applyFont="1" applyFill="1" applyBorder="1"/>
    <xf numFmtId="42" fontId="9" fillId="16" borderId="0" xfId="33" applyNumberFormat="1" applyFont="1" applyFill="1"/>
    <xf numFmtId="42" fontId="9" fillId="16" borderId="20" xfId="33" applyNumberFormat="1" applyFont="1" applyFill="1" applyBorder="1"/>
    <xf numFmtId="175" fontId="17" fillId="0" borderId="0" xfId="33" applyNumberFormat="1" applyFont="1" applyAlignment="1">
      <alignment horizontal="right" vertical="center"/>
    </xf>
    <xf numFmtId="0" fontId="58" fillId="17" borderId="0" xfId="30" applyFont="1" applyFill="1" applyProtection="1">
      <protection locked="0"/>
    </xf>
    <xf numFmtId="3" fontId="10" fillId="0" borderId="0" xfId="33" applyNumberFormat="1" applyFont="1"/>
    <xf numFmtId="42" fontId="0" fillId="0" borderId="0" xfId="0" applyNumberFormat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61" fillId="0" borderId="0" xfId="31" applyFont="1" applyAlignment="1">
      <alignment vertical="center"/>
    </xf>
    <xf numFmtId="10" fontId="2" fillId="0" borderId="0" xfId="31" applyNumberFormat="1" applyAlignment="1">
      <alignment horizontal="right" vertical="center"/>
    </xf>
    <xf numFmtId="0" fontId="61" fillId="0" borderId="2" xfId="31" applyFont="1" applyBorder="1" applyAlignment="1">
      <alignment vertical="center"/>
    </xf>
    <xf numFmtId="0" fontId="2" fillId="0" borderId="0" xfId="31" applyAlignment="1">
      <alignment horizontal="lef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68" fontId="9" fillId="0" borderId="0" xfId="31" applyNumberFormat="1" applyFont="1" applyAlignment="1">
      <alignment vertical="center"/>
    </xf>
    <xf numFmtId="168" fontId="11" fillId="0" borderId="0" xfId="31" applyNumberFormat="1" applyFont="1" applyAlignment="1">
      <alignment horizontal="right" vertical="center"/>
    </xf>
    <xf numFmtId="10" fontId="1" fillId="0" borderId="0" xfId="22" applyNumberFormat="1" applyFont="1" applyFill="1" applyAlignment="1" applyProtection="1">
      <alignment horizontal="right"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175" fontId="17" fillId="0" borderId="0" xfId="33" applyNumberFormat="1" applyFont="1" applyAlignment="1">
      <alignment vertical="center"/>
    </xf>
    <xf numFmtId="172" fontId="9" fillId="0" borderId="0" xfId="22" applyNumberFormat="1" applyFont="1" applyFill="1" applyBorder="1" applyAlignment="1" applyProtection="1">
      <alignment vertical="center"/>
    </xf>
    <xf numFmtId="0" fontId="63" fillId="18" borderId="0" xfId="30" applyFont="1" applyFill="1"/>
    <xf numFmtId="166" fontId="63" fillId="18" borderId="0" xfId="30" applyNumberFormat="1" applyFont="1" applyFill="1"/>
    <xf numFmtId="0" fontId="56" fillId="18" borderId="0" xfId="30" applyFont="1" applyFill="1"/>
    <xf numFmtId="167" fontId="64" fillId="18" borderId="0" xfId="30" applyNumberFormat="1" applyFont="1" applyFill="1"/>
    <xf numFmtId="9" fontId="56" fillId="18" borderId="0" xfId="30" applyNumberFormat="1" applyFont="1" applyFill="1" applyAlignment="1">
      <alignment horizontal="center"/>
    </xf>
    <xf numFmtId="42" fontId="63" fillId="18" borderId="0" xfId="30" applyNumberFormat="1" applyFont="1" applyFill="1"/>
    <xf numFmtId="42" fontId="9" fillId="0" borderId="20" xfId="33" applyNumberFormat="1" applyFont="1" applyBorder="1"/>
    <xf numFmtId="0" fontId="63" fillId="18" borderId="0" xfId="33" applyFont="1" applyFill="1" applyAlignment="1">
      <alignment horizontal="left" vertical="center"/>
    </xf>
    <xf numFmtId="0" fontId="65" fillId="18" borderId="0" xfId="33" applyFont="1" applyFill="1" applyAlignment="1">
      <alignment vertical="center"/>
    </xf>
    <xf numFmtId="42" fontId="11" fillId="18" borderId="0" xfId="31" applyNumberFormat="1" applyFont="1" applyFill="1" applyAlignment="1">
      <alignment horizontal="right" vertical="center"/>
    </xf>
    <xf numFmtId="0" fontId="63" fillId="18" borderId="0" xfId="30" applyFont="1" applyFill="1" applyAlignment="1">
      <alignment horizontal="right"/>
    </xf>
    <xf numFmtId="42" fontId="63" fillId="18" borderId="0" xfId="30" applyNumberFormat="1" applyFont="1" applyFill="1" applyAlignment="1">
      <alignment horizontal="right"/>
    </xf>
    <xf numFmtId="0" fontId="27" fillId="0" borderId="0" xfId="33" applyFont="1"/>
    <xf numFmtId="0" fontId="28" fillId="0" borderId="0" xfId="33" applyFont="1" applyAlignment="1">
      <alignment horizontal="left"/>
    </xf>
    <xf numFmtId="0" fontId="65" fillId="18" borderId="0" xfId="33" applyFont="1" applyFill="1"/>
    <xf numFmtId="3" fontId="66" fillId="18" borderId="0" xfId="33" applyNumberFormat="1" applyFont="1" applyFill="1" applyAlignment="1">
      <alignment horizontal="center"/>
    </xf>
    <xf numFmtId="42" fontId="63" fillId="18" borderId="23" xfId="33" applyNumberFormat="1" applyFont="1" applyFill="1" applyBorder="1" applyAlignment="1">
      <alignment horizontal="right"/>
    </xf>
    <xf numFmtId="10" fontId="67" fillId="0" borderId="0" xfId="33" applyNumberFormat="1" applyFont="1"/>
    <xf numFmtId="42" fontId="9" fillId="16" borderId="19" xfId="33" applyNumberFormat="1" applyFont="1" applyFill="1" applyBorder="1"/>
    <xf numFmtId="42" fontId="9" fillId="16" borderId="24" xfId="33" applyNumberFormat="1" applyFont="1" applyFill="1" applyBorder="1"/>
    <xf numFmtId="42" fontId="63" fillId="18" borderId="0" xfId="31" applyNumberFormat="1" applyFont="1" applyFill="1" applyAlignment="1">
      <alignment horizontal="right" vertical="center"/>
    </xf>
    <xf numFmtId="10" fontId="5" fillId="0" borderId="16" xfId="33" applyNumberFormat="1" applyFont="1" applyBorder="1" applyAlignment="1">
      <alignment horizontal="right" vertical="center"/>
    </xf>
    <xf numFmtId="10" fontId="5" fillId="0" borderId="18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right" vertical="center"/>
    </xf>
    <xf numFmtId="10" fontId="1" fillId="16" borderId="0" xfId="33" applyNumberFormat="1" applyFont="1" applyFill="1"/>
    <xf numFmtId="10" fontId="5" fillId="0" borderId="16" xfId="22" applyNumberFormat="1" applyFont="1" applyFill="1" applyBorder="1" applyAlignment="1" applyProtection="1">
      <alignment vertical="center"/>
    </xf>
    <xf numFmtId="10" fontId="5" fillId="0" borderId="25" xfId="22" applyNumberFormat="1" applyFont="1" applyFill="1" applyBorder="1" applyAlignment="1" applyProtection="1">
      <alignment vertical="center"/>
    </xf>
    <xf numFmtId="10" fontId="58" fillId="0" borderId="0" xfId="30" applyNumberFormat="1" applyFont="1" applyAlignment="1">
      <alignment horizontal="center"/>
    </xf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56" fillId="18" borderId="0" xfId="30" applyNumberFormat="1" applyFont="1" applyFill="1" applyAlignment="1">
      <alignment horizont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10" fontId="2" fillId="0" borderId="6" xfId="31" applyNumberFormat="1" applyBorder="1" applyAlignment="1">
      <alignment horizontal="right" vertical="center"/>
    </xf>
    <xf numFmtId="10" fontId="2" fillId="16" borderId="0" xfId="30" applyNumberFormat="1" applyFill="1"/>
    <xf numFmtId="0" fontId="9" fillId="0" borderId="0" xfId="33" applyFont="1" applyAlignment="1">
      <alignment vertical="center"/>
    </xf>
    <xf numFmtId="176" fontId="9" fillId="17" borderId="27" xfId="33" applyNumberFormat="1" applyFont="1" applyFill="1" applyBorder="1" applyProtection="1">
      <protection locked="0"/>
    </xf>
    <xf numFmtId="177" fontId="2" fillId="17" borderId="0" xfId="31" applyNumberFormat="1" applyFill="1" applyAlignment="1" applyProtection="1">
      <alignment horizontal="right" vertical="center"/>
      <protection locked="0"/>
    </xf>
    <xf numFmtId="178" fontId="1" fillId="16" borderId="0" xfId="22" applyNumberFormat="1" applyFont="1" applyFill="1" applyAlignment="1" applyProtection="1">
      <alignment horizontal="right" vertical="center"/>
    </xf>
    <xf numFmtId="178" fontId="68" fillId="19" borderId="0" xfId="22" applyNumberFormat="1" applyFont="1" applyFill="1" applyAlignment="1" applyProtection="1">
      <alignment horizontal="right" vertical="center"/>
    </xf>
    <xf numFmtId="168" fontId="2" fillId="0" borderId="28" xfId="31" applyNumberFormat="1" applyBorder="1" applyAlignment="1">
      <alignment vertical="center"/>
    </xf>
    <xf numFmtId="168" fontId="2" fillId="0" borderId="29" xfId="31" applyNumberFormat="1" applyBorder="1" applyAlignment="1">
      <alignment vertical="center"/>
    </xf>
    <xf numFmtId="168" fontId="9" fillId="0" borderId="6" xfId="31" applyNumberFormat="1" applyFont="1" applyBorder="1" applyAlignment="1">
      <alignment vertical="center"/>
    </xf>
    <xf numFmtId="168" fontId="2" fillId="0" borderId="30" xfId="31" applyNumberFormat="1" applyBorder="1" applyAlignment="1">
      <alignment vertical="center"/>
    </xf>
    <xf numFmtId="1" fontId="10" fillId="16" borderId="0" xfId="33" applyNumberFormat="1" applyFont="1" applyFill="1" applyAlignment="1">
      <alignment horizontal="left" vertical="center"/>
    </xf>
    <xf numFmtId="172" fontId="5" fillId="0" borderId="17" xfId="33" applyNumberFormat="1" applyFont="1" applyBorder="1" applyAlignment="1">
      <alignment horizontal="right" vertical="center"/>
    </xf>
    <xf numFmtId="42" fontId="9" fillId="0" borderId="0" xfId="30" applyNumberFormat="1" applyFont="1" applyAlignment="1">
      <alignment vertical="center"/>
    </xf>
    <xf numFmtId="168" fontId="19" fillId="0" borderId="0" xfId="30" applyNumberFormat="1" applyFont="1"/>
    <xf numFmtId="0" fontId="9" fillId="0" borderId="0" xfId="33" applyFont="1" applyAlignment="1">
      <alignment horizontal="right" vertical="center"/>
    </xf>
    <xf numFmtId="1" fontId="5" fillId="0" borderId="0" xfId="33" applyNumberFormat="1" applyFont="1" applyAlignment="1">
      <alignment horizontal="center" vertical="center"/>
    </xf>
    <xf numFmtId="3" fontId="9" fillId="0" borderId="0" xfId="33" applyNumberFormat="1" applyFont="1" applyAlignment="1">
      <alignment horizontal="right" vertical="center"/>
    </xf>
    <xf numFmtId="168" fontId="10" fillId="0" borderId="0" xfId="31" applyNumberFormat="1" applyFont="1" applyAlignment="1">
      <alignment vertical="center"/>
    </xf>
    <xf numFmtId="3" fontId="5" fillId="0" borderId="0" xfId="33" applyNumberFormat="1" applyFont="1" applyAlignment="1">
      <alignment horizontal="center" vertical="center"/>
    </xf>
    <xf numFmtId="10" fontId="9" fillId="0" borderId="0" xfId="33" applyNumberFormat="1" applyFont="1" applyAlignment="1">
      <alignment horizontal="right" vertical="center"/>
    </xf>
    <xf numFmtId="0" fontId="3" fillId="0" borderId="0" xfId="12" applyFont="1" applyFill="1" applyBorder="1" applyAlignment="1" applyProtection="1">
      <alignment horizontal="center" vertical="center"/>
    </xf>
    <xf numFmtId="0" fontId="2" fillId="16" borderId="0" xfId="30" applyFill="1" applyAlignment="1">
      <alignment vertical="center"/>
    </xf>
    <xf numFmtId="0" fontId="25" fillId="0" borderId="0" xfId="31" applyFont="1" applyAlignment="1">
      <alignment vertical="center"/>
    </xf>
    <xf numFmtId="0" fontId="32" fillId="0" borderId="0" xfId="33" applyFont="1"/>
    <xf numFmtId="3" fontId="33" fillId="0" borderId="0" xfId="33" applyNumberFormat="1" applyFont="1" applyAlignment="1">
      <alignment horizontal="right"/>
    </xf>
    <xf numFmtId="0" fontId="3" fillId="0" borderId="0" xfId="30" applyFont="1" applyAlignment="1">
      <alignment vertical="center"/>
    </xf>
    <xf numFmtId="10" fontId="70" fillId="0" borderId="0" xfId="31" applyNumberFormat="1" applyFont="1" applyAlignment="1">
      <alignment horizontal="right" vertical="center"/>
    </xf>
    <xf numFmtId="10" fontId="2" fillId="17" borderId="0" xfId="31" applyNumberFormat="1" applyFill="1" applyAlignment="1" applyProtection="1">
      <alignment vertical="center"/>
      <protection locked="0"/>
    </xf>
    <xf numFmtId="176" fontId="9" fillId="17" borderId="27" xfId="33" applyNumberFormat="1" applyFont="1" applyFill="1" applyBorder="1" applyAlignment="1" applyProtection="1">
      <alignment horizontal="right"/>
      <protection locked="0"/>
    </xf>
    <xf numFmtId="0" fontId="5" fillId="0" borderId="33" xfId="33" applyFont="1" applyBorder="1"/>
    <xf numFmtId="1" fontId="10" fillId="16" borderId="19" xfId="33" applyNumberFormat="1" applyFont="1" applyFill="1" applyBorder="1" applyAlignment="1">
      <alignment horizontal="left" vertical="center"/>
    </xf>
    <xf numFmtId="164" fontId="10" fillId="16" borderId="19" xfId="33" applyNumberFormat="1" applyFont="1" applyFill="1" applyBorder="1" applyAlignment="1">
      <alignment horizontal="left" vertical="center"/>
    </xf>
    <xf numFmtId="0" fontId="10" fillId="16" borderId="19" xfId="33" applyFont="1" applyFill="1" applyBorder="1" applyAlignment="1">
      <alignment vertical="center"/>
    </xf>
    <xf numFmtId="42" fontId="9" fillId="0" borderId="19" xfId="33" applyNumberFormat="1" applyFont="1" applyBorder="1" applyAlignment="1">
      <alignment vertical="center"/>
    </xf>
    <xf numFmtId="9" fontId="2" fillId="17" borderId="0" xfId="31" applyNumberFormat="1" applyFill="1" applyAlignment="1" applyProtection="1">
      <alignment vertical="center"/>
      <protection locked="0"/>
    </xf>
    <xf numFmtId="0" fontId="10" fillId="0" borderId="16" xfId="33" applyFont="1" applyBorder="1" applyAlignment="1">
      <alignment vertical="center"/>
    </xf>
    <xf numFmtId="172" fontId="5" fillId="0" borderId="33" xfId="33" applyNumberFormat="1" applyFont="1" applyBorder="1" applyAlignment="1">
      <alignment horizontal="right"/>
    </xf>
    <xf numFmtId="0" fontId="29" fillId="0" borderId="0" xfId="33" applyFont="1" applyAlignment="1">
      <alignment horizontal="left"/>
    </xf>
    <xf numFmtId="168" fontId="8" fillId="0" borderId="0" xfId="31" applyNumberFormat="1" applyFont="1" applyAlignment="1">
      <alignment horizontal="center" vertical="center"/>
    </xf>
    <xf numFmtId="42" fontId="1" fillId="16" borderId="4" xfId="31" applyNumberFormat="1" applyFont="1" applyFill="1" applyBorder="1" applyAlignment="1">
      <alignment vertical="center"/>
    </xf>
    <xf numFmtId="10" fontId="5" fillId="0" borderId="0" xfId="33" applyNumberFormat="1" applyFont="1" applyAlignment="1">
      <alignment horizontal="center"/>
    </xf>
    <xf numFmtId="3" fontId="5" fillId="0" borderId="0" xfId="33" applyNumberFormat="1" applyFont="1" applyAlignment="1">
      <alignment horizontal="right" vertical="center"/>
    </xf>
    <xf numFmtId="178" fontId="27" fillId="0" borderId="0" xfId="22" applyNumberFormat="1" applyFont="1" applyProtection="1"/>
    <xf numFmtId="42" fontId="9" fillId="16" borderId="2" xfId="30" applyNumberFormat="1" applyFont="1" applyFill="1" applyBorder="1" applyAlignment="1">
      <alignment vertical="center"/>
    </xf>
    <xf numFmtId="0" fontId="18" fillId="18" borderId="0" xfId="33" applyFont="1" applyFill="1" applyAlignment="1">
      <alignment vertical="center"/>
    </xf>
    <xf numFmtId="3" fontId="34" fillId="18" borderId="0" xfId="33" applyNumberFormat="1" applyFont="1" applyFill="1" applyAlignment="1">
      <alignment horizontal="center" vertical="center"/>
    </xf>
    <xf numFmtId="9" fontId="2" fillId="17" borderId="19" xfId="31" applyNumberFormat="1" applyFill="1" applyBorder="1" applyAlignment="1" applyProtection="1">
      <alignment horizontal="right" vertical="center"/>
      <protection locked="0"/>
    </xf>
    <xf numFmtId="42" fontId="2" fillId="16" borderId="2" xfId="30" applyNumberFormat="1" applyFill="1" applyBorder="1" applyAlignment="1">
      <alignment vertical="center"/>
    </xf>
    <xf numFmtId="168" fontId="2" fillId="0" borderId="0" xfId="31" applyNumberFormat="1" applyAlignment="1">
      <alignment horizontal="right" vertical="center"/>
    </xf>
    <xf numFmtId="42" fontId="10" fillId="16" borderId="2" xfId="30" applyNumberFormat="1" applyFont="1" applyFill="1" applyBorder="1" applyAlignment="1">
      <alignment horizontal="right" vertical="center"/>
    </xf>
    <xf numFmtId="1" fontId="71" fillId="0" borderId="0" xfId="12" applyNumberFormat="1" applyFont="1" applyBorder="1" applyAlignment="1" applyProtection="1">
      <alignment horizontal="center" vertical="center"/>
    </xf>
    <xf numFmtId="10" fontId="70" fillId="0" borderId="0" xfId="22" applyNumberFormat="1" applyFont="1" applyFill="1" applyAlignment="1" applyProtection="1">
      <alignment horizontal="right" vertical="center"/>
    </xf>
    <xf numFmtId="10" fontId="70" fillId="0" borderId="2" xfId="31" applyNumberFormat="1" applyFont="1" applyBorder="1" applyAlignment="1">
      <alignment horizontal="right" vertical="center"/>
    </xf>
    <xf numFmtId="9" fontId="9" fillId="17" borderId="20" xfId="33" applyNumberFormat="1" applyFont="1" applyFill="1" applyBorder="1" applyAlignment="1" applyProtection="1">
      <alignment horizontal="right" vertical="center"/>
      <protection locked="0"/>
    </xf>
    <xf numFmtId="179" fontId="9" fillId="16" borderId="34" xfId="42" applyNumberFormat="1" applyFont="1" applyFill="1" applyBorder="1" applyAlignment="1">
      <alignment vertical="center"/>
    </xf>
    <xf numFmtId="9" fontId="9" fillId="0" borderId="19" xfId="33" applyNumberFormat="1" applyFont="1" applyBorder="1" applyAlignment="1">
      <alignment horizontal="right" vertical="center"/>
    </xf>
    <xf numFmtId="179" fontId="9" fillId="0" borderId="19" xfId="42" applyNumberFormat="1" applyFont="1" applyBorder="1" applyAlignment="1">
      <alignment horizontal="right" vertical="center"/>
    </xf>
    <xf numFmtId="9" fontId="9" fillId="17" borderId="35" xfId="33" applyNumberFormat="1" applyFont="1" applyFill="1" applyBorder="1" applyAlignment="1" applyProtection="1">
      <alignment horizontal="right" vertical="center"/>
      <protection locked="0"/>
    </xf>
    <xf numFmtId="3" fontId="9" fillId="16" borderId="19" xfId="42" applyNumberFormat="1" applyFont="1" applyFill="1" applyBorder="1" applyAlignment="1">
      <alignment vertical="center"/>
    </xf>
    <xf numFmtId="179" fontId="9" fillId="0" borderId="19" xfId="42" applyNumberFormat="1" applyFont="1" applyBorder="1" applyAlignment="1">
      <alignment vertical="center"/>
    </xf>
    <xf numFmtId="0" fontId="17" fillId="0" borderId="16" xfId="33" applyFont="1" applyBorder="1"/>
    <xf numFmtId="164" fontId="17" fillId="0" borderId="17" xfId="33" applyNumberFormat="1" applyFont="1" applyBorder="1" applyAlignment="1">
      <alignment horizontal="left"/>
    </xf>
    <xf numFmtId="0" fontId="17" fillId="0" borderId="17" xfId="33" applyFont="1" applyBorder="1"/>
    <xf numFmtId="0" fontId="17" fillId="0" borderId="31" xfId="33" applyFont="1" applyBorder="1"/>
    <xf numFmtId="164" fontId="17" fillId="0" borderId="18" xfId="33" applyNumberFormat="1" applyFont="1" applyBorder="1" applyAlignment="1">
      <alignment horizontal="left"/>
    </xf>
    <xf numFmtId="0" fontId="17" fillId="0" borderId="18" xfId="33" applyFont="1" applyBorder="1"/>
    <xf numFmtId="3" fontId="9" fillId="0" borderId="19" xfId="42" applyNumberFormat="1" applyFont="1" applyBorder="1" applyAlignment="1">
      <alignment vertical="center"/>
    </xf>
    <xf numFmtId="9" fontId="10" fillId="0" borderId="19" xfId="33" applyNumberFormat="1" applyFont="1" applyBorder="1" applyAlignment="1">
      <alignment horizontal="right" vertical="center"/>
    </xf>
    <xf numFmtId="165" fontId="17" fillId="0" borderId="17" xfId="33" applyNumberFormat="1" applyFont="1" applyBorder="1" applyAlignment="1">
      <alignment horizontal="left"/>
    </xf>
    <xf numFmtId="0" fontId="17" fillId="0" borderId="18" xfId="33" applyFont="1" applyBorder="1" applyAlignment="1">
      <alignment horizontal="left"/>
    </xf>
    <xf numFmtId="0" fontId="17" fillId="0" borderId="33" xfId="33" applyFont="1" applyBorder="1"/>
    <xf numFmtId="9" fontId="9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0" borderId="0" xfId="42" applyNumberFormat="1" applyFont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1" fontId="10" fillId="16" borderId="0" xfId="33" applyNumberFormat="1" applyFont="1" applyFill="1" applyAlignment="1">
      <alignment vertical="center"/>
    </xf>
    <xf numFmtId="3" fontId="66" fillId="18" borderId="0" xfId="33" applyNumberFormat="1" applyFont="1" applyFill="1" applyAlignment="1">
      <alignment horizontal="center" vertical="center"/>
    </xf>
    <xf numFmtId="42" fontId="63" fillId="18" borderId="0" xfId="33" applyNumberFormat="1" applyFont="1" applyFill="1" applyAlignment="1">
      <alignment horizontal="right" vertical="center"/>
    </xf>
    <xf numFmtId="1" fontId="3" fillId="17" borderId="0" xfId="12" applyNumberFormat="1" applyFont="1" applyFill="1" applyBorder="1" applyAlignment="1" applyProtection="1">
      <alignment horizontal="center" vertical="center"/>
      <protection locked="0"/>
    </xf>
    <xf numFmtId="10" fontId="5" fillId="17" borderId="0" xfId="33" applyNumberFormat="1" applyFont="1" applyFill="1" applyAlignment="1">
      <alignment horizontal="right"/>
    </xf>
    <xf numFmtId="168" fontId="10" fillId="17" borderId="0" xfId="31" applyNumberFormat="1" applyFont="1" applyFill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168" fontId="10" fillId="17" borderId="19" xfId="31" applyNumberFormat="1" applyFont="1" applyFill="1" applyBorder="1" applyAlignment="1">
      <alignment vertical="center"/>
    </xf>
    <xf numFmtId="1" fontId="3" fillId="17" borderId="36" xfId="12" applyNumberFormat="1" applyFont="1" applyFill="1" applyBorder="1" applyAlignment="1" applyProtection="1">
      <alignment horizontal="center" vertical="center"/>
      <protection locked="0"/>
    </xf>
    <xf numFmtId="178" fontId="1" fillId="16" borderId="20" xfId="22" applyNumberFormat="1" applyFont="1" applyFill="1" applyBorder="1" applyAlignment="1" applyProtection="1">
      <alignment horizontal="right" vertical="center"/>
    </xf>
    <xf numFmtId="9" fontId="9" fillId="17" borderId="0" xfId="22" applyFont="1" applyFill="1" applyBorder="1" applyAlignment="1" applyProtection="1">
      <alignment horizontal="right" vertical="center"/>
      <protection locked="0"/>
    </xf>
    <xf numFmtId="166" fontId="1" fillId="0" borderId="6" xfId="31" applyNumberFormat="1" applyFont="1" applyBorder="1" applyAlignment="1">
      <alignment horizontal="right" vertical="center"/>
    </xf>
    <xf numFmtId="10" fontId="70" fillId="0" borderId="0" xfId="22" applyNumberFormat="1" applyFont="1" applyFill="1" applyAlignment="1" applyProtection="1">
      <alignment vertical="center"/>
    </xf>
    <xf numFmtId="10" fontId="62" fillId="0" borderId="0" xfId="22" applyNumberFormat="1" applyFont="1" applyFill="1" applyAlignment="1" applyProtection="1">
      <alignment vertical="center"/>
    </xf>
    <xf numFmtId="10" fontId="62" fillId="0" borderId="2" xfId="22" applyNumberFormat="1" applyFont="1" applyFill="1" applyBorder="1" applyAlignment="1" applyProtection="1">
      <alignment vertical="center"/>
    </xf>
    <xf numFmtId="42" fontId="10" fillId="0" borderId="0" xfId="30" applyNumberFormat="1" applyFont="1" applyAlignment="1">
      <alignment vertical="center"/>
    </xf>
    <xf numFmtId="3" fontId="9" fillId="16" borderId="16" xfId="33" applyNumberFormat="1" applyFont="1" applyFill="1" applyBorder="1"/>
    <xf numFmtId="3" fontId="9" fillId="0" borderId="19" xfId="33" applyNumberFormat="1" applyFont="1" applyBorder="1" applyAlignment="1">
      <alignment vertical="center"/>
    </xf>
    <xf numFmtId="3" fontId="1" fillId="16" borderId="0" xfId="33" applyNumberFormat="1" applyFont="1" applyFill="1" applyAlignment="1">
      <alignment horizontal="right"/>
    </xf>
    <xf numFmtId="3" fontId="9" fillId="16" borderId="16" xfId="33" applyNumberFormat="1" applyFont="1" applyFill="1" applyBorder="1" applyAlignment="1">
      <alignment vertical="center"/>
    </xf>
    <xf numFmtId="3" fontId="9" fillId="10" borderId="22" xfId="33" applyNumberFormat="1" applyFont="1" applyFill="1" applyBorder="1" applyAlignment="1">
      <alignment vertical="center"/>
    </xf>
    <xf numFmtId="3" fontId="10" fillId="0" borderId="16" xfId="33" applyNumberFormat="1" applyFont="1" applyBorder="1" applyAlignment="1">
      <alignment vertical="center"/>
    </xf>
    <xf numFmtId="9" fontId="9" fillId="17" borderId="37" xfId="22" applyFont="1" applyFill="1" applyBorder="1" applyAlignment="1" applyProtection="1">
      <alignment horizontal="right"/>
      <protection locked="0"/>
    </xf>
    <xf numFmtId="9" fontId="9" fillId="17" borderId="35" xfId="22" applyFont="1" applyFill="1" applyBorder="1" applyAlignment="1" applyProtection="1">
      <alignment horizontal="right"/>
      <protection locked="0"/>
    </xf>
    <xf numFmtId="3" fontId="9" fillId="16" borderId="20" xfId="33" applyNumberFormat="1" applyFont="1" applyFill="1" applyBorder="1"/>
    <xf numFmtId="3" fontId="9" fillId="16" borderId="24" xfId="33" applyNumberFormat="1" applyFont="1" applyFill="1" applyBorder="1"/>
    <xf numFmtId="9" fontId="9" fillId="17" borderId="19" xfId="22" applyFont="1" applyFill="1" applyBorder="1" applyAlignment="1" applyProtection="1">
      <alignment horizontal="right"/>
      <protection locked="0"/>
    </xf>
    <xf numFmtId="3" fontId="9" fillId="16" borderId="38" xfId="33" applyNumberFormat="1" applyFont="1" applyFill="1" applyBorder="1"/>
    <xf numFmtId="0" fontId="3" fillId="0" borderId="3" xfId="12" applyFont="1" applyFill="1" applyBorder="1" applyAlignment="1" applyProtection="1">
      <alignment horizontal="center" vertical="center"/>
    </xf>
    <xf numFmtId="10" fontId="5" fillId="17" borderId="20" xfId="33" applyNumberFormat="1" applyFont="1" applyFill="1" applyBorder="1" applyAlignment="1">
      <alignment horizontal="right"/>
    </xf>
    <xf numFmtId="42" fontId="10" fillId="17" borderId="20" xfId="31" applyNumberFormat="1" applyFont="1" applyFill="1" applyBorder="1" applyAlignment="1">
      <alignment vertical="center"/>
    </xf>
    <xf numFmtId="42" fontId="10" fillId="17" borderId="19" xfId="31" applyNumberFormat="1" applyFont="1" applyFill="1" applyBorder="1" applyAlignment="1">
      <alignment vertical="center"/>
    </xf>
    <xf numFmtId="42" fontId="10" fillId="0" borderId="0" xfId="31" applyNumberFormat="1" applyFont="1" applyAlignment="1">
      <alignment vertical="center"/>
    </xf>
    <xf numFmtId="178" fontId="1" fillId="16" borderId="20" xfId="31" applyNumberFormat="1" applyFont="1" applyFill="1" applyBorder="1" applyAlignment="1">
      <alignment horizontal="right"/>
    </xf>
    <xf numFmtId="42" fontId="10" fillId="16" borderId="2" xfId="30" applyNumberFormat="1" applyFont="1" applyFill="1" applyBorder="1" applyAlignment="1">
      <alignment vertical="center"/>
    </xf>
    <xf numFmtId="1" fontId="71" fillId="0" borderId="0" xfId="12" applyNumberFormat="1" applyFont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0" fontId="70" fillId="0" borderId="0" xfId="22" applyNumberFormat="1" applyFont="1" applyAlignment="1">
      <alignment horizontal="right" vertical="center"/>
    </xf>
    <xf numFmtId="10" fontId="70" fillId="0" borderId="2" xfId="22" applyNumberFormat="1" applyFont="1" applyBorder="1" applyAlignment="1">
      <alignment horizontal="right" vertical="center"/>
    </xf>
    <xf numFmtId="0" fontId="2" fillId="0" borderId="0" xfId="31"/>
    <xf numFmtId="168" fontId="9" fillId="0" borderId="0" xfId="31" applyNumberFormat="1" applyFont="1"/>
    <xf numFmtId="10" fontId="2" fillId="17" borderId="0" xfId="31" applyNumberFormat="1" applyFill="1" applyAlignment="1" applyProtection="1">
      <alignment horizontal="right" vertical="center"/>
      <protection locked="0"/>
    </xf>
    <xf numFmtId="3" fontId="2" fillId="16" borderId="0" xfId="33" applyNumberFormat="1" applyFont="1" applyFill="1" applyAlignment="1">
      <alignment horizontal="right"/>
    </xf>
    <xf numFmtId="3" fontId="9" fillId="16" borderId="19" xfId="33" applyNumberFormat="1" applyFont="1" applyFill="1" applyBorder="1" applyAlignment="1">
      <alignment vertical="center"/>
    </xf>
    <xf numFmtId="9" fontId="9" fillId="17" borderId="20" xfId="33" applyNumberFormat="1" applyFont="1" applyFill="1" applyBorder="1" applyAlignment="1" applyProtection="1">
      <alignment horizontal="right"/>
      <protection locked="0"/>
    </xf>
    <xf numFmtId="9" fontId="9" fillId="17" borderId="19" xfId="33" applyNumberFormat="1" applyFont="1" applyFill="1" applyBorder="1" applyAlignment="1" applyProtection="1">
      <alignment horizontal="right"/>
      <protection locked="0"/>
    </xf>
    <xf numFmtId="1" fontId="17" fillId="0" borderId="16" xfId="33" applyNumberFormat="1" applyFont="1" applyBorder="1"/>
    <xf numFmtId="1" fontId="17" fillId="0" borderId="31" xfId="33" applyNumberFormat="1" applyFont="1" applyBorder="1"/>
    <xf numFmtId="0" fontId="9" fillId="0" borderId="3" xfId="33" applyFont="1" applyBorder="1"/>
    <xf numFmtId="10" fontId="5" fillId="19" borderId="0" xfId="33" applyNumberFormat="1" applyFont="1" applyFill="1" applyAlignment="1">
      <alignment horizontal="right"/>
    </xf>
    <xf numFmtId="42" fontId="10" fillId="19" borderId="0" xfId="31" applyNumberFormat="1" applyFont="1" applyFill="1" applyAlignment="1">
      <alignment vertical="center"/>
    </xf>
    <xf numFmtId="4" fontId="2" fillId="16" borderId="0" xfId="30" applyNumberFormat="1" applyFill="1"/>
    <xf numFmtId="178" fontId="1" fillId="16" borderId="0" xfId="22" applyNumberFormat="1" applyFont="1" applyFill="1" applyAlignment="1" applyProtection="1">
      <alignment horizontal="right"/>
    </xf>
    <xf numFmtId="1" fontId="70" fillId="0" borderId="0" xfId="12" applyNumberFormat="1" applyFont="1" applyAlignment="1">
      <alignment horizontal="right" vertical="center"/>
    </xf>
    <xf numFmtId="176" fontId="9" fillId="17" borderId="27" xfId="33" applyNumberFormat="1" applyFont="1" applyFill="1" applyBorder="1" applyAlignment="1" applyProtection="1">
      <alignment vertical="center"/>
      <protection locked="0"/>
    </xf>
    <xf numFmtId="0" fontId="5" fillId="0" borderId="0" xfId="33" applyFont="1" applyAlignment="1">
      <alignment horizontal="center"/>
    </xf>
    <xf numFmtId="1" fontId="5" fillId="0" borderId="16" xfId="33" applyNumberFormat="1" applyFont="1" applyBorder="1"/>
    <xf numFmtId="1" fontId="5" fillId="0" borderId="31" xfId="33" applyNumberFormat="1" applyFont="1" applyBorder="1"/>
    <xf numFmtId="10" fontId="9" fillId="0" borderId="0" xfId="33" applyNumberFormat="1" applyFont="1" applyAlignment="1">
      <alignment horizontal="right"/>
    </xf>
    <xf numFmtId="0" fontId="5" fillId="0" borderId="6" xfId="33" applyFont="1" applyBorder="1"/>
    <xf numFmtId="0" fontId="3" fillId="0" borderId="6" xfId="12" applyFont="1" applyFill="1" applyBorder="1" applyAlignment="1" applyProtection="1">
      <alignment horizontal="center" vertical="center"/>
    </xf>
    <xf numFmtId="10" fontId="2" fillId="17" borderId="32" xfId="31" applyNumberForma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Alignment="1">
      <alignment vertical="center"/>
    </xf>
    <xf numFmtId="9" fontId="9" fillId="0" borderId="19" xfId="22" applyFont="1" applyBorder="1" applyAlignment="1">
      <alignment horizontal="right"/>
    </xf>
    <xf numFmtId="9" fontId="10" fillId="0" borderId="19" xfId="22" applyFont="1" applyBorder="1" applyAlignment="1">
      <alignment horizontal="right"/>
    </xf>
    <xf numFmtId="9" fontId="9" fillId="0" borderId="0" xfId="22" applyFont="1"/>
    <xf numFmtId="9" fontId="10" fillId="0" borderId="16" xfId="22" applyFont="1" applyBorder="1" applyAlignment="1">
      <alignment vertical="center"/>
    </xf>
    <xf numFmtId="9" fontId="9" fillId="0" borderId="0" xfId="22" applyFont="1" applyAlignment="1">
      <alignment horizontal="right"/>
    </xf>
    <xf numFmtId="0" fontId="2" fillId="0" borderId="6" xfId="31" applyBorder="1" applyAlignment="1">
      <alignment vertical="top"/>
    </xf>
    <xf numFmtId="10" fontId="2" fillId="0" borderId="0" xfId="31" applyNumberFormat="1" applyAlignment="1">
      <alignment horizontal="right" vertical="top"/>
    </xf>
    <xf numFmtId="168" fontId="9" fillId="0" borderId="0" xfId="31" applyNumberFormat="1" applyFont="1" applyAlignment="1">
      <alignment vertical="top"/>
    </xf>
    <xf numFmtId="10" fontId="70" fillId="0" borderId="2" xfId="22" applyNumberFormat="1" applyFont="1" applyFill="1" applyBorder="1" applyAlignment="1" applyProtection="1">
      <alignment vertical="center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3" fontId="9" fillId="16" borderId="38" xfId="33" applyNumberFormat="1" applyFont="1" applyFill="1" applyBorder="1" applyAlignment="1">
      <alignment vertical="center"/>
    </xf>
    <xf numFmtId="3" fontId="9" fillId="0" borderId="0" xfId="33" applyNumberFormat="1" applyFont="1" applyAlignment="1">
      <alignment vertical="center"/>
    </xf>
    <xf numFmtId="3" fontId="9" fillId="16" borderId="20" xfId="33" applyNumberFormat="1" applyFont="1" applyFill="1" applyBorder="1" applyAlignment="1">
      <alignment vertical="center"/>
    </xf>
    <xf numFmtId="3" fontId="9" fillId="16" borderId="24" xfId="33" applyNumberFormat="1" applyFont="1" applyFill="1" applyBorder="1" applyAlignment="1">
      <alignment vertical="center"/>
    </xf>
    <xf numFmtId="3" fontId="9" fillId="16" borderId="39" xfId="33" applyNumberFormat="1" applyFont="1" applyFill="1" applyBorder="1" applyAlignment="1">
      <alignment vertical="center"/>
    </xf>
    <xf numFmtId="9" fontId="5" fillId="17" borderId="19" xfId="33" applyNumberFormat="1" applyFont="1" applyFill="1" applyBorder="1" applyAlignment="1" applyProtection="1">
      <alignment horizontal="right" vertical="center"/>
      <protection locked="0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10" fontId="2" fillId="0" borderId="6" xfId="31" applyNumberFormat="1" applyBorder="1" applyAlignment="1">
      <alignment horizontal="right" vertical="top"/>
    </xf>
    <xf numFmtId="3" fontId="5" fillId="0" borderId="0" xfId="33" applyNumberFormat="1" applyFont="1" applyAlignment="1">
      <alignment horizontal="right" vertical="top"/>
    </xf>
    <xf numFmtId="0" fontId="10" fillId="0" borderId="0" xfId="33" applyFont="1" applyAlignment="1">
      <alignment horizontal="left" vertical="center"/>
    </xf>
    <xf numFmtId="0" fontId="5" fillId="0" borderId="0" xfId="33" applyFont="1" applyAlignment="1">
      <alignment horizontal="left" vertical="center"/>
    </xf>
    <xf numFmtId="0" fontId="6" fillId="0" borderId="0" xfId="33" applyFont="1" applyAlignment="1">
      <alignment horizontal="left" vertical="center"/>
    </xf>
    <xf numFmtId="3" fontId="5" fillId="0" borderId="0" xfId="33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1" xfId="33" applyFont="1" applyBorder="1" applyAlignment="1">
      <alignment vertical="center"/>
    </xf>
    <xf numFmtId="9" fontId="5" fillId="17" borderId="27" xfId="33" applyNumberFormat="1" applyFont="1" applyFill="1" applyBorder="1" applyAlignment="1" applyProtection="1">
      <alignment horizontal="right" vertical="center"/>
      <protection locked="0"/>
    </xf>
    <xf numFmtId="179" fontId="9" fillId="16" borderId="0" xfId="42" applyNumberFormat="1" applyFont="1" applyFill="1" applyAlignment="1">
      <alignment vertical="center"/>
    </xf>
    <xf numFmtId="1" fontId="5" fillId="0" borderId="0" xfId="33" applyNumberFormat="1" applyFont="1" applyAlignment="1">
      <alignment horizontal="left" vertical="center"/>
    </xf>
    <xf numFmtId="179" fontId="9" fillId="0" borderId="0" xfId="42" applyNumberFormat="1" applyFont="1" applyAlignment="1">
      <alignment horizontal="right" vertical="center"/>
    </xf>
    <xf numFmtId="9" fontId="31" fillId="16" borderId="0" xfId="33" applyNumberFormat="1" applyFont="1" applyFill="1" applyAlignment="1">
      <alignment horizontal="right" vertical="center"/>
    </xf>
    <xf numFmtId="179" fontId="2" fillId="16" borderId="23" xfId="42" applyNumberFormat="1" applyFont="1" applyFill="1" applyBorder="1" applyAlignment="1">
      <alignment vertical="center"/>
    </xf>
    <xf numFmtId="1" fontId="3" fillId="0" borderId="16" xfId="33" applyNumberFormat="1" applyFont="1" applyBorder="1" applyAlignment="1">
      <alignment vertical="center"/>
    </xf>
    <xf numFmtId="164" fontId="5" fillId="0" borderId="17" xfId="33" applyNumberFormat="1" applyFont="1" applyBorder="1" applyAlignment="1">
      <alignment horizontal="left" vertical="center"/>
    </xf>
    <xf numFmtId="0" fontId="5" fillId="0" borderId="17" xfId="33" applyFont="1" applyBorder="1" applyAlignment="1">
      <alignment vertical="center"/>
    </xf>
    <xf numFmtId="1" fontId="3" fillId="0" borderId="31" xfId="33" applyNumberFormat="1" applyFont="1" applyBorder="1" applyAlignment="1">
      <alignment vertical="center"/>
    </xf>
    <xf numFmtId="164" fontId="5" fillId="0" borderId="18" xfId="33" applyNumberFormat="1" applyFont="1" applyBorder="1" applyAlignment="1">
      <alignment horizontal="left" vertical="center"/>
    </xf>
    <xf numFmtId="0" fontId="5" fillId="0" borderId="18" xfId="33" applyFont="1" applyBorder="1" applyAlignment="1">
      <alignment vertical="center"/>
    </xf>
    <xf numFmtId="172" fontId="5" fillId="0" borderId="18" xfId="33" applyNumberFormat="1" applyFont="1" applyBorder="1" applyAlignment="1">
      <alignment horizontal="right" vertical="center"/>
    </xf>
    <xf numFmtId="0" fontId="5" fillId="0" borderId="0" xfId="33" applyFont="1" applyAlignment="1">
      <alignment horizontal="right" vertical="center"/>
    </xf>
    <xf numFmtId="0" fontId="5" fillId="0" borderId="40" xfId="33" applyFont="1" applyBorder="1" applyAlignment="1">
      <alignment vertical="center"/>
    </xf>
    <xf numFmtId="172" fontId="5" fillId="0" borderId="40" xfId="33" applyNumberFormat="1" applyFont="1" applyBorder="1" applyAlignment="1">
      <alignment horizontal="right" vertical="center"/>
    </xf>
    <xf numFmtId="9" fontId="5" fillId="17" borderId="0" xfId="33" applyNumberFormat="1" applyFont="1" applyFill="1" applyAlignment="1" applyProtection="1">
      <alignment horizontal="right" vertical="center"/>
      <protection locked="0"/>
    </xf>
    <xf numFmtId="179" fontId="9" fillId="16" borderId="23" xfId="42" applyNumberFormat="1" applyFont="1" applyFill="1" applyBorder="1" applyAlignment="1">
      <alignment vertical="center"/>
    </xf>
    <xf numFmtId="179" fontId="9" fillId="16" borderId="20" xfId="42" applyNumberFormat="1" applyFont="1" applyFill="1" applyBorder="1" applyAlignment="1">
      <alignment vertical="center"/>
    </xf>
    <xf numFmtId="1" fontId="5" fillId="0" borderId="16" xfId="33" applyNumberFormat="1" applyFont="1" applyBorder="1" applyAlignment="1">
      <alignment vertical="center"/>
    </xf>
    <xf numFmtId="165" fontId="5" fillId="0" borderId="17" xfId="33" applyNumberFormat="1" applyFont="1" applyBorder="1" applyAlignment="1">
      <alignment horizontal="left" vertical="center"/>
    </xf>
    <xf numFmtId="0" fontId="79" fillId="0" borderId="0" xfId="0" applyFont="1" applyAlignment="1">
      <alignment vertical="center"/>
    </xf>
    <xf numFmtId="0" fontId="5" fillId="0" borderId="18" xfId="33" applyFont="1" applyBorder="1" applyAlignment="1">
      <alignment horizontal="left" vertical="center"/>
    </xf>
    <xf numFmtId="9" fontId="5" fillId="17" borderId="35" xfId="33" applyNumberFormat="1" applyFont="1" applyFill="1" applyBorder="1" applyAlignment="1" applyProtection="1">
      <alignment horizontal="right" vertical="center"/>
      <protection locked="0"/>
    </xf>
    <xf numFmtId="179" fontId="9" fillId="16" borderId="19" xfId="42" applyNumberFormat="1" applyFont="1" applyFill="1" applyBorder="1" applyAlignment="1">
      <alignment vertical="center"/>
    </xf>
    <xf numFmtId="179" fontId="9" fillId="16" borderId="32" xfId="42" applyNumberFormat="1" applyFont="1" applyFill="1" applyBorder="1" applyAlignment="1">
      <alignment vertical="center"/>
    </xf>
    <xf numFmtId="164" fontId="5" fillId="0" borderId="0" xfId="33" applyNumberFormat="1" applyFont="1" applyAlignment="1">
      <alignment horizontal="left" vertical="center"/>
    </xf>
    <xf numFmtId="10" fontId="5" fillId="0" borderId="0" xfId="33" applyNumberFormat="1" applyFont="1" applyAlignment="1">
      <alignment vertical="center"/>
    </xf>
    <xf numFmtId="9" fontId="2" fillId="16" borderId="0" xfId="33" applyNumberFormat="1" applyFont="1" applyFill="1" applyAlignment="1">
      <alignment vertical="center"/>
    </xf>
    <xf numFmtId="179" fontId="1" fillId="16" borderId="0" xfId="42" applyNumberFormat="1" applyFont="1" applyFill="1" applyBorder="1" applyAlignment="1">
      <alignment horizontal="right" vertical="center"/>
    </xf>
    <xf numFmtId="9" fontId="5" fillId="16" borderId="0" xfId="33" applyNumberFormat="1" applyFont="1" applyFill="1" applyAlignment="1">
      <alignment horizontal="center" vertical="center"/>
    </xf>
    <xf numFmtId="171" fontId="1" fillId="0" borderId="0" xfId="33" applyNumberFormat="1" applyFont="1" applyAlignment="1">
      <alignment horizontal="right" vertical="center"/>
    </xf>
    <xf numFmtId="0" fontId="29" fillId="0" borderId="0" xfId="33" applyFont="1" applyAlignment="1">
      <alignment horizontal="left" vertical="center"/>
    </xf>
    <xf numFmtId="1" fontId="10" fillId="16" borderId="20" xfId="33" applyNumberFormat="1" applyFont="1" applyFill="1" applyBorder="1" applyAlignment="1">
      <alignment vertical="center"/>
    </xf>
    <xf numFmtId="179" fontId="5" fillId="0" borderId="0" xfId="42" applyNumberFormat="1" applyFont="1" applyAlignment="1">
      <alignment vertical="center"/>
    </xf>
    <xf numFmtId="179" fontId="63" fillId="18" borderId="23" xfId="42" applyNumberFormat="1" applyFont="1" applyFill="1" applyBorder="1" applyAlignment="1">
      <alignment horizontal="right" vertical="center"/>
    </xf>
    <xf numFmtId="0" fontId="65" fillId="0" borderId="0" xfId="33" applyFont="1" applyAlignment="1">
      <alignment vertical="center"/>
    </xf>
    <xf numFmtId="0" fontId="2" fillId="0" borderId="0" xfId="31" applyAlignment="1">
      <alignment horizontal="right" vertical="center"/>
    </xf>
    <xf numFmtId="0" fontId="6" fillId="0" borderId="2" xfId="33" applyFont="1" applyBorder="1" applyAlignment="1">
      <alignment horizontal="left" vertical="center"/>
    </xf>
    <xf numFmtId="0" fontId="5" fillId="0" borderId="2" xfId="33" applyFont="1" applyBorder="1" applyAlignment="1">
      <alignment vertical="center"/>
    </xf>
    <xf numFmtId="1" fontId="3" fillId="17" borderId="20" xfId="12" applyNumberFormat="1" applyFont="1" applyFill="1" applyBorder="1" applyAlignment="1" applyProtection="1">
      <alignment horizontal="center" vertical="center"/>
    </xf>
    <xf numFmtId="0" fontId="5" fillId="17" borderId="20" xfId="33" applyFont="1" applyFill="1" applyBorder="1" applyAlignment="1">
      <alignment vertical="center"/>
    </xf>
    <xf numFmtId="0" fontId="6" fillId="0" borderId="3" xfId="33" applyFont="1" applyBorder="1" applyAlignment="1">
      <alignment horizontal="left" vertical="center"/>
    </xf>
    <xf numFmtId="0" fontId="5" fillId="0" borderId="3" xfId="33" applyFont="1" applyBorder="1" applyAlignment="1">
      <alignment vertical="center"/>
    </xf>
    <xf numFmtId="1" fontId="3" fillId="17" borderId="19" xfId="12" applyNumberFormat="1" applyFont="1" applyFill="1" applyBorder="1" applyAlignment="1" applyProtection="1">
      <alignment horizontal="center" vertical="center"/>
    </xf>
    <xf numFmtId="0" fontId="5" fillId="17" borderId="19" xfId="33" applyFont="1" applyFill="1" applyBorder="1" applyAlignment="1">
      <alignment vertical="center"/>
    </xf>
    <xf numFmtId="0" fontId="5" fillId="0" borderId="3" xfId="33" applyFont="1" applyBorder="1" applyAlignment="1">
      <alignment horizontal="left" vertical="center"/>
    </xf>
    <xf numFmtId="1" fontId="5" fillId="17" borderId="20" xfId="12" applyNumberFormat="1" applyFont="1" applyFill="1" applyBorder="1" applyAlignment="1" applyProtection="1">
      <alignment horizontal="center" vertical="center"/>
    </xf>
    <xf numFmtId="1" fontId="5" fillId="17" borderId="19" xfId="12" applyNumberFormat="1" applyFont="1" applyFill="1" applyBorder="1" applyAlignment="1" applyProtection="1">
      <alignment horizontal="center" vertical="center"/>
    </xf>
    <xf numFmtId="42" fontId="11" fillId="0" borderId="0" xfId="31" applyNumberFormat="1" applyFont="1" applyAlignment="1">
      <alignment horizontal="right" vertical="center"/>
    </xf>
    <xf numFmtId="178" fontId="63" fillId="19" borderId="0" xfId="22" applyNumberFormat="1" applyFont="1" applyFill="1" applyAlignment="1" applyProtection="1">
      <alignment horizontal="right" vertical="center"/>
    </xf>
    <xf numFmtId="10" fontId="63" fillId="0" borderId="0" xfId="22" applyNumberFormat="1" applyFont="1" applyFill="1" applyAlignment="1" applyProtection="1">
      <alignment horizontal="right" vertical="center"/>
    </xf>
    <xf numFmtId="10" fontId="1" fillId="0" borderId="0" xfId="22" applyNumberFormat="1" applyFont="1" applyFill="1" applyBorder="1" applyAlignment="1" applyProtection="1">
      <alignment horizontal="right" vertical="center"/>
    </xf>
    <xf numFmtId="178" fontId="63" fillId="16" borderId="0" xfId="22" applyNumberFormat="1" applyFont="1" applyFill="1" applyAlignment="1" applyProtection="1">
      <alignment horizontal="right" vertical="center"/>
    </xf>
    <xf numFmtId="10" fontId="60" fillId="0" borderId="0" xfId="33" applyNumberFormat="1" applyFont="1" applyAlignment="1">
      <alignment vertical="center"/>
    </xf>
    <xf numFmtId="0" fontId="60" fillId="0" borderId="0" xfId="33" applyFont="1" applyAlignment="1">
      <alignment vertical="center"/>
    </xf>
    <xf numFmtId="10" fontId="27" fillId="0" borderId="0" xfId="12" applyNumberFormat="1" applyFont="1" applyFill="1" applyBorder="1" applyAlignment="1" applyProtection="1">
      <alignment horizontal="right" vertical="center"/>
    </xf>
    <xf numFmtId="166" fontId="1" fillId="0" borderId="0" xfId="22" applyNumberFormat="1" applyFont="1" applyFill="1" applyBorder="1" applyAlignment="1" applyProtection="1">
      <alignment horizontal="right" vertical="center"/>
    </xf>
    <xf numFmtId="0" fontId="2" fillId="0" borderId="0" xfId="30" applyAlignment="1">
      <alignment vertical="top"/>
    </xf>
    <xf numFmtId="10" fontId="71" fillId="0" borderId="0" xfId="33" applyNumberFormat="1" applyFont="1" applyAlignment="1">
      <alignment vertical="top"/>
    </xf>
    <xf numFmtId="42" fontId="2" fillId="0" borderId="0" xfId="30" applyNumberFormat="1" applyAlignment="1">
      <alignment vertical="center"/>
    </xf>
    <xf numFmtId="9" fontId="5" fillId="0" borderId="0" xfId="33" applyNumberFormat="1" applyFont="1" applyAlignment="1">
      <alignment vertical="center"/>
    </xf>
    <xf numFmtId="0" fontId="1" fillId="16" borderId="0" xfId="30" applyFont="1" applyFill="1" applyAlignment="1">
      <alignment vertical="center"/>
    </xf>
    <xf numFmtId="0" fontId="1" fillId="16" borderId="0" xfId="30" applyFont="1" applyFill="1" applyAlignment="1">
      <alignment horizontal="right" vertical="center"/>
    </xf>
    <xf numFmtId="166" fontId="1" fillId="16" borderId="0" xfId="30" applyNumberFormat="1" applyFont="1" applyFill="1" applyAlignment="1">
      <alignment vertical="center"/>
    </xf>
    <xf numFmtId="168" fontId="19" fillId="16" borderId="0" xfId="30" applyNumberFormat="1" applyFont="1" applyFill="1" applyAlignment="1">
      <alignment vertical="center"/>
    </xf>
    <xf numFmtId="9" fontId="2" fillId="16" borderId="0" xfId="30" applyNumberFormat="1" applyFill="1" applyAlignment="1">
      <alignment vertical="center"/>
    </xf>
    <xf numFmtId="42" fontId="1" fillId="16" borderId="0" xfId="30" applyNumberFormat="1" applyFont="1" applyFill="1" applyAlignment="1">
      <alignment vertical="center"/>
    </xf>
    <xf numFmtId="0" fontId="11" fillId="0" borderId="0" xfId="30" applyFont="1" applyAlignment="1">
      <alignment horizontal="right" vertical="center"/>
    </xf>
    <xf numFmtId="0" fontId="2" fillId="0" borderId="0" xfId="30" applyAlignment="1">
      <alignment horizontal="right" vertical="center"/>
    </xf>
    <xf numFmtId="166" fontId="2" fillId="0" borderId="0" xfId="30" applyNumberFormat="1" applyAlignment="1">
      <alignment vertical="center"/>
    </xf>
    <xf numFmtId="168" fontId="2" fillId="0" borderId="0" xfId="30" applyNumberFormat="1" applyAlignment="1">
      <alignment vertical="center"/>
    </xf>
    <xf numFmtId="168" fontId="7" fillId="0" borderId="0" xfId="30" applyNumberFormat="1" applyFont="1" applyAlignment="1">
      <alignment vertical="center"/>
    </xf>
    <xf numFmtId="9" fontId="2" fillId="0" borderId="0" xfId="30" applyNumberFormat="1" applyAlignment="1">
      <alignment horizontal="center" vertical="center"/>
    </xf>
    <xf numFmtId="166" fontId="2" fillId="0" borderId="0" xfId="30" applyNumberFormat="1" applyAlignment="1">
      <alignment horizontal="left" vertical="center"/>
    </xf>
    <xf numFmtId="10" fontId="2" fillId="17" borderId="0" xfId="30" applyNumberFormat="1" applyFill="1" applyAlignment="1" applyProtection="1">
      <alignment horizontal="right" vertical="center"/>
      <protection locked="0"/>
    </xf>
    <xf numFmtId="10" fontId="2" fillId="0" borderId="0" xfId="30" applyNumberFormat="1" applyAlignment="1">
      <alignment horizontal="right" vertical="center"/>
    </xf>
    <xf numFmtId="0" fontId="2" fillId="0" borderId="4" xfId="30" applyBorder="1" applyAlignment="1">
      <alignment vertical="center"/>
    </xf>
    <xf numFmtId="0" fontId="2" fillId="0" borderId="4" xfId="30" applyBorder="1" applyAlignment="1">
      <alignment horizontal="right" vertical="center"/>
    </xf>
    <xf numFmtId="166" fontId="2" fillId="0" borderId="4" xfId="30" applyNumberFormat="1" applyBorder="1" applyAlignment="1">
      <alignment vertical="center"/>
    </xf>
    <xf numFmtId="167" fontId="7" fillId="0" borderId="4" xfId="30" applyNumberFormat="1" applyFont="1" applyBorder="1" applyAlignment="1">
      <alignment vertical="center"/>
    </xf>
    <xf numFmtId="10" fontId="2" fillId="0" borderId="4" xfId="30" applyNumberFormat="1" applyBorder="1" applyAlignment="1">
      <alignment horizontal="center" vertical="center"/>
    </xf>
    <xf numFmtId="42" fontId="2" fillId="0" borderId="4" xfId="30" applyNumberFormat="1" applyBorder="1" applyAlignment="1">
      <alignment vertical="center"/>
    </xf>
    <xf numFmtId="10" fontId="2" fillId="0" borderId="0" xfId="30" applyNumberFormat="1" applyAlignment="1">
      <alignment horizontal="center" vertical="center"/>
    </xf>
    <xf numFmtId="167" fontId="7" fillId="0" borderId="0" xfId="30" applyNumberFormat="1" applyFont="1" applyAlignment="1">
      <alignment vertical="center"/>
    </xf>
    <xf numFmtId="0" fontId="1" fillId="0" borderId="0" xfId="30" applyFont="1" applyAlignment="1">
      <alignment vertical="center"/>
    </xf>
    <xf numFmtId="0" fontId="1" fillId="0" borderId="0" xfId="30" applyFont="1" applyAlignment="1">
      <alignment horizontal="right" vertical="center"/>
    </xf>
    <xf numFmtId="166" fontId="1" fillId="0" borderId="0" xfId="30" applyNumberFormat="1" applyFont="1" applyAlignment="1">
      <alignment vertical="center"/>
    </xf>
    <xf numFmtId="42" fontId="1" fillId="0" borderId="0" xfId="30" applyNumberFormat="1" applyFont="1" applyAlignment="1">
      <alignment vertical="center"/>
    </xf>
    <xf numFmtId="0" fontId="63" fillId="18" borderId="0" xfId="30" applyFont="1" applyFill="1" applyAlignment="1">
      <alignment vertical="center"/>
    </xf>
    <xf numFmtId="0" fontId="63" fillId="18" borderId="0" xfId="30" applyFont="1" applyFill="1" applyAlignment="1">
      <alignment horizontal="right" vertical="center"/>
    </xf>
    <xf numFmtId="166" fontId="63" fillId="18" borderId="0" xfId="30" applyNumberFormat="1" applyFont="1" applyFill="1" applyAlignment="1">
      <alignment vertical="center"/>
    </xf>
    <xf numFmtId="9" fontId="56" fillId="18" borderId="0" xfId="30" applyNumberFormat="1" applyFont="1" applyFill="1" applyAlignment="1">
      <alignment horizontal="center" vertical="center"/>
    </xf>
    <xf numFmtId="167" fontId="64" fillId="18" borderId="0" xfId="30" applyNumberFormat="1" applyFont="1" applyFill="1" applyAlignment="1">
      <alignment vertical="center"/>
    </xf>
    <xf numFmtId="42" fontId="63" fillId="18" borderId="0" xfId="30" applyNumberFormat="1" applyFont="1" applyFill="1" applyAlignment="1">
      <alignment vertical="center"/>
    </xf>
    <xf numFmtId="9" fontId="56" fillId="0" borderId="0" xfId="30" applyNumberFormat="1" applyFont="1" applyAlignment="1">
      <alignment horizontal="center" vertical="center"/>
    </xf>
    <xf numFmtId="0" fontId="32" fillId="0" borderId="0" xfId="33" applyFont="1" applyAlignment="1">
      <alignment vertical="center"/>
    </xf>
    <xf numFmtId="0" fontId="81" fillId="0" borderId="0" xfId="33" applyFont="1" applyAlignment="1">
      <alignment horizontal="left" vertical="center"/>
    </xf>
    <xf numFmtId="178" fontId="32" fillId="0" borderId="0" xfId="22" applyNumberFormat="1" applyFont="1" applyAlignment="1" applyProtection="1">
      <alignment vertical="center"/>
    </xf>
    <xf numFmtId="10" fontId="32" fillId="0" borderId="0" xfId="22" applyNumberFormat="1" applyFont="1" applyAlignment="1" applyProtection="1">
      <alignment vertical="center"/>
    </xf>
    <xf numFmtId="0" fontId="82" fillId="0" borderId="0" xfId="0" applyFont="1" applyAlignment="1">
      <alignment vertical="center"/>
    </xf>
    <xf numFmtId="10" fontId="5" fillId="20" borderId="42" xfId="33" applyNumberFormat="1" applyFont="1" applyFill="1" applyBorder="1" applyAlignment="1">
      <alignment horizontal="right"/>
    </xf>
    <xf numFmtId="168" fontId="10" fillId="20" borderId="42" xfId="31" applyNumberFormat="1" applyFont="1" applyFill="1" applyBorder="1" applyAlignment="1">
      <alignment vertical="center"/>
    </xf>
    <xf numFmtId="10" fontId="5" fillId="20" borderId="43" xfId="33" applyNumberFormat="1" applyFont="1" applyFill="1" applyBorder="1" applyAlignment="1">
      <alignment horizontal="right"/>
    </xf>
    <xf numFmtId="168" fontId="10" fillId="20" borderId="43" xfId="31" applyNumberFormat="1" applyFont="1" applyFill="1" applyBorder="1" applyAlignment="1">
      <alignment vertical="center"/>
    </xf>
    <xf numFmtId="10" fontId="5" fillId="20" borderId="44" xfId="33" applyNumberFormat="1" applyFont="1" applyFill="1" applyBorder="1" applyAlignment="1">
      <alignment horizontal="right"/>
    </xf>
    <xf numFmtId="168" fontId="10" fillId="20" borderId="44" xfId="31" applyNumberFormat="1" applyFont="1" applyFill="1" applyBorder="1" applyAlignment="1">
      <alignment vertical="center"/>
    </xf>
    <xf numFmtId="49" fontId="2" fillId="0" borderId="0" xfId="30" applyNumberFormat="1"/>
    <xf numFmtId="10" fontId="5" fillId="0" borderId="0" xfId="33" applyNumberFormat="1" applyFont="1" applyAlignment="1">
      <alignment horizontal="right" vertical="top"/>
    </xf>
    <xf numFmtId="0" fontId="2" fillId="0" borderId="0" xfId="31" applyAlignment="1">
      <alignment horizontal="left"/>
    </xf>
    <xf numFmtId="10" fontId="2" fillId="0" borderId="6" xfId="31" applyNumberFormat="1" applyBorder="1" applyAlignment="1">
      <alignment horizontal="right"/>
    </xf>
    <xf numFmtId="172" fontId="5" fillId="17" borderId="20" xfId="33" applyNumberFormat="1" applyFont="1" applyFill="1" applyBorder="1" applyAlignment="1" applyProtection="1">
      <alignment horizontal="right"/>
      <protection locked="0"/>
    </xf>
    <xf numFmtId="172" fontId="5" fillId="0" borderId="19" xfId="33" applyNumberFormat="1" applyFont="1" applyBorder="1" applyAlignment="1">
      <alignment horizontal="right"/>
    </xf>
    <xf numFmtId="172" fontId="5" fillId="17" borderId="19" xfId="33" applyNumberFormat="1" applyFont="1" applyFill="1" applyBorder="1" applyAlignment="1" applyProtection="1">
      <alignment horizontal="right"/>
      <protection locked="0"/>
    </xf>
    <xf numFmtId="3" fontId="5" fillId="0" borderId="19" xfId="33" applyNumberFormat="1" applyFont="1" applyBorder="1"/>
    <xf numFmtId="172" fontId="6" fillId="0" borderId="19" xfId="33" applyNumberFormat="1" applyFont="1" applyBorder="1" applyAlignment="1">
      <alignment horizontal="right"/>
    </xf>
    <xf numFmtId="3" fontId="5" fillId="0" borderId="0" xfId="33" applyNumberFormat="1" applyFont="1" applyAlignment="1">
      <alignment horizontal="left"/>
    </xf>
    <xf numFmtId="168" fontId="9" fillId="0" borderId="28" xfId="31" applyNumberFormat="1" applyFont="1" applyBorder="1" applyAlignment="1">
      <alignment vertical="center"/>
    </xf>
    <xf numFmtId="10" fontId="70" fillId="0" borderId="6" xfId="31" applyNumberFormat="1" applyFont="1" applyBorder="1" applyAlignment="1">
      <alignment horizontal="right" vertical="top"/>
    </xf>
    <xf numFmtId="10" fontId="30" fillId="0" borderId="0" xfId="33" applyNumberFormat="1" applyFont="1" applyAlignment="1">
      <alignment wrapText="1"/>
    </xf>
    <xf numFmtId="0" fontId="3" fillId="0" borderId="0" xfId="12" applyFont="1" applyBorder="1" applyAlignment="1" applyProtection="1">
      <alignment vertical="center"/>
    </xf>
    <xf numFmtId="9" fontId="9" fillId="0" borderId="32" xfId="33" applyNumberFormat="1" applyFont="1" applyBorder="1" applyAlignment="1">
      <alignment horizontal="right"/>
    </xf>
    <xf numFmtId="9" fontId="10" fillId="0" borderId="32" xfId="33" applyNumberFormat="1" applyFont="1" applyBorder="1" applyAlignment="1">
      <alignment horizontal="right"/>
    </xf>
    <xf numFmtId="9" fontId="9" fillId="0" borderId="0" xfId="33" applyNumberFormat="1" applyFont="1" applyAlignment="1" applyProtection="1">
      <alignment horizontal="right"/>
      <protection locked="0"/>
    </xf>
    <xf numFmtId="9" fontId="9" fillId="0" borderId="0" xfId="33" applyNumberFormat="1" applyFont="1" applyAlignment="1">
      <alignment horizontal="right"/>
    </xf>
    <xf numFmtId="3" fontId="9" fillId="10" borderId="22" xfId="33" applyNumberFormat="1" applyFont="1" applyFill="1" applyBorder="1"/>
    <xf numFmtId="10" fontId="70" fillId="0" borderId="2" xfId="22" applyNumberFormat="1" applyFont="1" applyFill="1" applyBorder="1" applyAlignment="1" applyProtection="1">
      <alignment horizontal="right" vertical="center"/>
    </xf>
    <xf numFmtId="10" fontId="2" fillId="17" borderId="2" xfId="31" applyNumberFormat="1" applyFill="1" applyBorder="1" applyAlignment="1" applyProtection="1">
      <alignment vertical="center"/>
      <protection locked="0"/>
    </xf>
    <xf numFmtId="0" fontId="25" fillId="0" borderId="0" xfId="31" applyFont="1" applyAlignment="1">
      <alignment vertical="top"/>
    </xf>
    <xf numFmtId="0" fontId="32" fillId="0" borderId="0" xfId="33" applyFont="1" applyAlignment="1">
      <alignment vertical="top"/>
    </xf>
    <xf numFmtId="168" fontId="2" fillId="0" borderId="6" xfId="31" applyNumberFormat="1" applyBorder="1" applyAlignment="1">
      <alignment horizontal="right" vertical="top"/>
    </xf>
    <xf numFmtId="168" fontId="2" fillId="0" borderId="0" xfId="31" applyNumberFormat="1" applyAlignment="1">
      <alignment horizontal="right" vertical="top"/>
    </xf>
    <xf numFmtId="168" fontId="2" fillId="0" borderId="2" xfId="31" applyNumberFormat="1" applyBorder="1" applyAlignment="1">
      <alignment horizontal="right" vertical="center"/>
    </xf>
    <xf numFmtId="177" fontId="2" fillId="17" borderId="23" xfId="31" applyNumberFormat="1" applyFill="1" applyBorder="1" applyAlignment="1" applyProtection="1">
      <alignment vertical="center"/>
      <protection locked="0"/>
    </xf>
    <xf numFmtId="1" fontId="10" fillId="19" borderId="0" xfId="33" applyNumberFormat="1" applyFont="1" applyFill="1" applyAlignment="1">
      <alignment horizontal="left" vertical="center"/>
    </xf>
    <xf numFmtId="0" fontId="72" fillId="0" borderId="0" xfId="0" applyFont="1" applyAlignment="1">
      <alignment vertical="top" wrapText="1"/>
    </xf>
    <xf numFmtId="0" fontId="72" fillId="0" borderId="0" xfId="0" applyFont="1" applyAlignment="1">
      <alignment vertical="top"/>
    </xf>
    <xf numFmtId="3" fontId="9" fillId="17" borderId="32" xfId="33" applyNumberFormat="1" applyFont="1" applyFill="1" applyBorder="1" applyAlignment="1" applyProtection="1">
      <alignment vertical="center"/>
      <protection locked="0"/>
    </xf>
    <xf numFmtId="175" fontId="17" fillId="0" borderId="0" xfId="33" applyNumberFormat="1" applyFont="1" applyAlignment="1">
      <alignment horizontal="center" vertical="center"/>
    </xf>
    <xf numFmtId="10" fontId="5" fillId="0" borderId="16" xfId="33" applyNumberFormat="1" applyFont="1" applyBorder="1" applyAlignment="1">
      <alignment horizontal="center" vertical="center"/>
    </xf>
    <xf numFmtId="10" fontId="5" fillId="0" borderId="16" xfId="22" applyNumberFormat="1" applyFont="1" applyFill="1" applyBorder="1" applyAlignment="1" applyProtection="1">
      <alignment horizontal="center" vertical="center"/>
    </xf>
    <xf numFmtId="178" fontId="25" fillId="0" borderId="0" xfId="30" applyNumberFormat="1" applyFont="1"/>
    <xf numFmtId="180" fontId="9" fillId="17" borderId="20" xfId="33" applyNumberFormat="1" applyFont="1" applyFill="1" applyBorder="1" applyAlignment="1" applyProtection="1">
      <alignment vertical="center"/>
      <protection locked="0"/>
    </xf>
    <xf numFmtId="180" fontId="9" fillId="0" borderId="19" xfId="33" applyNumberFormat="1" applyFont="1" applyBorder="1"/>
    <xf numFmtId="180" fontId="9" fillId="17" borderId="16" xfId="33" applyNumberFormat="1" applyFont="1" applyFill="1" applyBorder="1" applyProtection="1">
      <protection locked="0"/>
    </xf>
    <xf numFmtId="180" fontId="9" fillId="16" borderId="19" xfId="33" applyNumberFormat="1" applyFont="1" applyFill="1" applyBorder="1" applyAlignment="1">
      <alignment vertical="center"/>
    </xf>
    <xf numFmtId="180" fontId="9" fillId="17" borderId="19" xfId="33" applyNumberFormat="1" applyFont="1" applyFill="1" applyBorder="1" applyProtection="1">
      <protection locked="0"/>
    </xf>
    <xf numFmtId="180" fontId="9" fillId="17" borderId="21" xfId="33" applyNumberFormat="1" applyFont="1" applyFill="1" applyBorder="1" applyProtection="1">
      <protection locked="0"/>
    </xf>
    <xf numFmtId="180" fontId="9" fillId="17" borderId="22" xfId="33" applyNumberFormat="1" applyFont="1" applyFill="1" applyBorder="1" applyProtection="1">
      <protection locked="0"/>
    </xf>
    <xf numFmtId="180" fontId="9" fillId="0" borderId="0" xfId="33" applyNumberFormat="1" applyFont="1"/>
    <xf numFmtId="10" fontId="5" fillId="0" borderId="25" xfId="22" applyNumberFormat="1" applyFont="1" applyFill="1" applyBorder="1" applyAlignment="1" applyProtection="1">
      <alignment horizontal="center" vertical="center"/>
    </xf>
    <xf numFmtId="10" fontId="5" fillId="0" borderId="0" xfId="33" applyNumberFormat="1" applyFont="1" applyAlignment="1">
      <alignment horizontal="center" vertical="center"/>
    </xf>
    <xf numFmtId="10" fontId="2" fillId="17" borderId="20" xfId="31" applyNumberFormat="1" applyFill="1" applyBorder="1" applyAlignment="1" applyProtection="1">
      <alignment vertical="center"/>
      <protection locked="0"/>
    </xf>
    <xf numFmtId="10" fontId="2" fillId="17" borderId="26" xfId="31" applyNumberFormat="1" applyFill="1" applyBorder="1" applyAlignment="1" applyProtection="1">
      <alignment vertical="center"/>
      <protection locked="0"/>
    </xf>
    <xf numFmtId="10" fontId="2" fillId="17" borderId="19" xfId="31" applyNumberFormat="1" applyFill="1" applyBorder="1" applyAlignment="1" applyProtection="1">
      <alignment vertical="center"/>
      <protection locked="0"/>
    </xf>
    <xf numFmtId="9" fontId="9" fillId="17" borderId="37" xfId="33" applyNumberFormat="1" applyFont="1" applyFill="1" applyBorder="1" applyAlignment="1" applyProtection="1">
      <alignment horizontal="right"/>
      <protection locked="0"/>
    </xf>
    <xf numFmtId="3" fontId="9" fillId="16" borderId="34" xfId="33" applyNumberFormat="1" applyFont="1" applyFill="1" applyBorder="1"/>
    <xf numFmtId="9" fontId="9" fillId="17" borderId="35" xfId="33" applyNumberFormat="1" applyFont="1" applyFill="1" applyBorder="1" applyAlignment="1" applyProtection="1">
      <alignment horizontal="right"/>
      <protection locked="0"/>
    </xf>
    <xf numFmtId="3" fontId="9" fillId="16" borderId="45" xfId="33" applyNumberFormat="1" applyFont="1" applyFill="1" applyBorder="1"/>
    <xf numFmtId="168" fontId="9" fillId="0" borderId="6" xfId="31" applyNumberFormat="1" applyFont="1" applyBorder="1" applyAlignment="1">
      <alignment vertical="top"/>
    </xf>
    <xf numFmtId="0" fontId="3" fillId="0" borderId="2" xfId="30" applyFont="1" applyBorder="1" applyAlignment="1">
      <alignment vertical="center"/>
    </xf>
    <xf numFmtId="3" fontId="9" fillId="0" borderId="20" xfId="33" applyNumberFormat="1" applyFont="1" applyBorder="1" applyAlignment="1">
      <alignment vertical="center"/>
    </xf>
    <xf numFmtId="42" fontId="63" fillId="18" borderId="0" xfId="33" applyNumberFormat="1" applyFont="1" applyFill="1" applyAlignment="1">
      <alignment horizontal="left" vertical="center"/>
    </xf>
    <xf numFmtId="10" fontId="5" fillId="0" borderId="0" xfId="33" applyNumberFormat="1" applyFont="1" applyAlignment="1">
      <alignment vertical="top" wrapText="1"/>
    </xf>
    <xf numFmtId="176" fontId="9" fillId="17" borderId="27" xfId="33" applyNumberFormat="1" applyFont="1" applyFill="1" applyBorder="1" applyAlignment="1" applyProtection="1">
      <alignment horizontal="right" vertical="center"/>
      <protection locked="0"/>
    </xf>
    <xf numFmtId="42" fontId="24" fillId="0" borderId="0" xfId="33" applyNumberFormat="1" applyFont="1" applyAlignment="1">
      <alignment vertical="center"/>
    </xf>
    <xf numFmtId="0" fontId="5" fillId="0" borderId="31" xfId="33" applyFont="1" applyBorder="1"/>
    <xf numFmtId="0" fontId="0" fillId="0" borderId="2" xfId="0" applyBorder="1"/>
    <xf numFmtId="1" fontId="5" fillId="0" borderId="16" xfId="33" applyNumberFormat="1" applyFont="1" applyBorder="1" applyAlignment="1">
      <alignment horizontal="center" vertical="center"/>
    </xf>
    <xf numFmtId="10" fontId="17" fillId="0" borderId="0" xfId="33" applyNumberFormat="1" applyFont="1" applyAlignment="1">
      <alignment wrapText="1"/>
    </xf>
    <xf numFmtId="168" fontId="10" fillId="17" borderId="20" xfId="31" applyNumberFormat="1" applyFont="1" applyFill="1" applyBorder="1" applyAlignment="1">
      <alignment vertical="center"/>
    </xf>
    <xf numFmtId="0" fontId="75" fillId="0" borderId="0" xfId="30" applyFont="1" applyAlignment="1">
      <alignment horizontal="center"/>
    </xf>
    <xf numFmtId="10" fontId="67" fillId="0" borderId="0" xfId="33" applyNumberFormat="1" applyFont="1" applyAlignment="1">
      <alignment vertical="center"/>
    </xf>
    <xf numFmtId="3" fontId="5" fillId="0" borderId="0" xfId="33" applyNumberFormat="1" applyFont="1" applyAlignment="1">
      <alignment horizontal="left" vertical="center"/>
    </xf>
    <xf numFmtId="10" fontId="5" fillId="0" borderId="0" xfId="33" applyNumberFormat="1" applyFont="1" applyAlignment="1">
      <alignment vertical="center" wrapText="1"/>
    </xf>
    <xf numFmtId="0" fontId="76" fillId="0" borderId="0" xfId="30" applyFont="1" applyAlignment="1">
      <alignment horizontal="center"/>
    </xf>
    <xf numFmtId="0" fontId="32" fillId="0" borderId="0" xfId="33" applyFont="1" applyAlignment="1">
      <alignment horizontal="left"/>
    </xf>
    <xf numFmtId="0" fontId="81" fillId="0" borderId="0" xfId="33" applyFont="1" applyAlignment="1">
      <alignment horizontal="left"/>
    </xf>
    <xf numFmtId="0" fontId="70" fillId="0" borderId="0" xfId="31" applyFont="1" applyAlignment="1">
      <alignment horizontal="center" vertical="center"/>
    </xf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6" xfId="31" applyNumberFormat="1" applyBorder="1" applyAlignment="1">
      <alignment horizontal="right" vertical="center"/>
    </xf>
    <xf numFmtId="3" fontId="32" fillId="0" borderId="0" xfId="33" applyNumberFormat="1" applyFont="1" applyAlignment="1">
      <alignment horizontal="right" vertical="top"/>
    </xf>
    <xf numFmtId="0" fontId="69" fillId="0" borderId="0" xfId="0" applyFont="1" applyAlignment="1">
      <alignment vertical="top"/>
    </xf>
    <xf numFmtId="42" fontId="25" fillId="0" borderId="0" xfId="30" applyNumberFormat="1" applyFont="1"/>
    <xf numFmtId="3" fontId="32" fillId="0" borderId="0" xfId="33" applyNumberFormat="1" applyFont="1" applyAlignment="1">
      <alignment horizontal="right"/>
    </xf>
    <xf numFmtId="0" fontId="69" fillId="0" borderId="0" xfId="0" applyFont="1"/>
    <xf numFmtId="42" fontId="2" fillId="19" borderId="0" xfId="30" applyNumberFormat="1" applyFill="1" applyAlignment="1">
      <alignment horizontal="right"/>
    </xf>
    <xf numFmtId="42" fontId="9" fillId="16" borderId="0" xfId="30" applyNumberFormat="1" applyFont="1" applyFill="1" applyAlignment="1">
      <alignment vertical="center"/>
    </xf>
    <xf numFmtId="42" fontId="10" fillId="16" borderId="0" xfId="30" applyNumberFormat="1" applyFont="1" applyFill="1" applyAlignment="1">
      <alignment vertical="center"/>
    </xf>
    <xf numFmtId="177" fontId="2" fillId="0" borderId="0" xfId="31" applyNumberFormat="1" applyAlignment="1">
      <alignment horizontal="right" vertical="center"/>
    </xf>
    <xf numFmtId="3" fontId="17" fillId="0" borderId="0" xfId="33" applyNumberFormat="1" applyFont="1" applyAlignment="1">
      <alignment horizontal="right" vertical="center"/>
    </xf>
    <xf numFmtId="3" fontId="15" fillId="0" borderId="0" xfId="33" applyNumberFormat="1" applyFont="1" applyAlignment="1">
      <alignment vertical="center"/>
    </xf>
    <xf numFmtId="179" fontId="9" fillId="16" borderId="16" xfId="42" applyNumberFormat="1" applyFont="1" applyFill="1" applyBorder="1" applyAlignment="1" applyProtection="1">
      <alignment vertical="center"/>
    </xf>
    <xf numFmtId="179" fontId="9" fillId="0" borderId="0" xfId="42" applyNumberFormat="1" applyFont="1" applyBorder="1" applyAlignment="1" applyProtection="1">
      <alignment horizontal="right" vertical="center"/>
    </xf>
    <xf numFmtId="179" fontId="9" fillId="0" borderId="0" xfId="42" applyNumberFormat="1" applyFont="1" applyBorder="1" applyAlignment="1" applyProtection="1">
      <alignment vertical="center"/>
    </xf>
    <xf numFmtId="179" fontId="9" fillId="16" borderId="0" xfId="42" applyNumberFormat="1" applyFont="1" applyFill="1" applyBorder="1" applyAlignment="1" applyProtection="1">
      <alignment vertical="center"/>
    </xf>
    <xf numFmtId="179" fontId="9" fillId="10" borderId="19" xfId="42" applyNumberFormat="1" applyFont="1" applyFill="1" applyBorder="1" applyAlignment="1" applyProtection="1">
      <alignment vertical="center"/>
    </xf>
    <xf numFmtId="0" fontId="21" fillId="0" borderId="0" xfId="33" applyFont="1" applyAlignment="1">
      <alignment horizontal="left" vertical="center"/>
    </xf>
    <xf numFmtId="179" fontId="9" fillId="10" borderId="21" xfId="42" applyNumberFormat="1" applyFont="1" applyFill="1" applyBorder="1" applyAlignment="1" applyProtection="1">
      <alignment vertical="center"/>
    </xf>
    <xf numFmtId="179" fontId="9" fillId="10" borderId="22" xfId="42" applyNumberFormat="1" applyFont="1" applyFill="1" applyBorder="1" applyAlignment="1" applyProtection="1">
      <alignment vertical="center"/>
    </xf>
    <xf numFmtId="0" fontId="14" fillId="0" borderId="31" xfId="33" applyFont="1" applyBorder="1" applyAlignment="1">
      <alignment vertical="center"/>
    </xf>
    <xf numFmtId="179" fontId="9" fillId="16" borderId="20" xfId="42" applyNumberFormat="1" applyFont="1" applyFill="1" applyBorder="1" applyAlignment="1" applyProtection="1">
      <alignment vertical="center"/>
    </xf>
    <xf numFmtId="0" fontId="5" fillId="0" borderId="41" xfId="33" applyFont="1" applyBorder="1" applyAlignment="1">
      <alignment vertical="center"/>
    </xf>
    <xf numFmtId="179" fontId="1" fillId="16" borderId="0" xfId="42" applyNumberFormat="1" applyFont="1" applyFill="1" applyBorder="1" applyAlignment="1" applyProtection="1">
      <alignment horizontal="right" vertical="center"/>
    </xf>
    <xf numFmtId="0" fontId="5" fillId="16" borderId="0" xfId="33" applyFont="1" applyFill="1" applyAlignment="1">
      <alignment vertical="center"/>
    </xf>
    <xf numFmtId="179" fontId="9" fillId="0" borderId="0" xfId="42" applyNumberFormat="1" applyFont="1" applyAlignment="1" applyProtection="1">
      <alignment vertical="center"/>
    </xf>
    <xf numFmtId="179" fontId="9" fillId="16" borderId="19" xfId="42" applyNumberFormat="1" applyFont="1" applyFill="1" applyBorder="1" applyAlignment="1" applyProtection="1">
      <alignment vertical="center"/>
    </xf>
    <xf numFmtId="0" fontId="32" fillId="0" borderId="0" xfId="33" applyFont="1" applyAlignment="1">
      <alignment horizontal="right" vertical="center"/>
    </xf>
    <xf numFmtId="179" fontId="5" fillId="0" borderId="0" xfId="42" applyNumberFormat="1" applyFont="1" applyBorder="1" applyAlignment="1" applyProtection="1">
      <alignment horizontal="right" vertical="center"/>
    </xf>
    <xf numFmtId="179" fontId="9" fillId="0" borderId="23" xfId="42" applyNumberFormat="1" applyFont="1" applyFill="1" applyBorder="1" applyAlignment="1" applyProtection="1">
      <alignment horizontal="right" vertical="center"/>
    </xf>
    <xf numFmtId="179" fontId="5" fillId="0" borderId="0" xfId="33" applyNumberFormat="1" applyFont="1" applyAlignment="1">
      <alignment vertical="center"/>
    </xf>
    <xf numFmtId="179" fontId="9" fillId="0" borderId="23" xfId="42" applyNumberFormat="1" applyFont="1" applyFill="1" applyBorder="1" applyAlignment="1" applyProtection="1">
      <alignment vertical="center"/>
    </xf>
    <xf numFmtId="10" fontId="2" fillId="0" borderId="2" xfId="31" applyNumberFormat="1" applyBorder="1" applyAlignment="1">
      <alignment horizontal="right" vertical="center"/>
    </xf>
    <xf numFmtId="42" fontId="2" fillId="0" borderId="2" xfId="30" applyNumberFormat="1" applyBorder="1" applyAlignment="1">
      <alignment vertical="center"/>
    </xf>
    <xf numFmtId="42" fontId="2" fillId="0" borderId="2" xfId="30" applyNumberFormat="1" applyBorder="1"/>
    <xf numFmtId="3" fontId="16" fillId="0" borderId="0" xfId="33" applyNumberFormat="1" applyFont="1" applyAlignment="1">
      <alignment horizontal="right"/>
    </xf>
    <xf numFmtId="0" fontId="74" fillId="0" borderId="0" xfId="33" applyFont="1" applyAlignment="1">
      <alignment wrapText="1"/>
    </xf>
    <xf numFmtId="3" fontId="9" fillId="16" borderId="0" xfId="33" applyNumberFormat="1" applyFont="1" applyFill="1"/>
    <xf numFmtId="3" fontId="9" fillId="10" borderId="19" xfId="33" applyNumberFormat="1" applyFont="1" applyFill="1" applyBorder="1"/>
    <xf numFmtId="3" fontId="9" fillId="10" borderId="21" xfId="33" applyNumberFormat="1" applyFont="1" applyFill="1" applyBorder="1"/>
    <xf numFmtId="3" fontId="18" fillId="0" borderId="0" xfId="33" applyNumberFormat="1" applyFont="1" applyAlignment="1">
      <alignment vertical="center"/>
    </xf>
    <xf numFmtId="0" fontId="2" fillId="0" borderId="0" xfId="30" applyAlignment="1">
      <alignment wrapText="1"/>
    </xf>
    <xf numFmtId="10" fontId="60" fillId="0" borderId="0" xfId="33" applyNumberFormat="1" applyFont="1" applyAlignment="1">
      <alignment vertical="top" wrapText="1"/>
    </xf>
    <xf numFmtId="3" fontId="9" fillId="16" borderId="16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horizontal="right" vertical="center"/>
    </xf>
    <xf numFmtId="3" fontId="5" fillId="0" borderId="19" xfId="33" applyNumberFormat="1" applyFont="1" applyBorder="1" applyAlignment="1">
      <alignment vertical="center"/>
    </xf>
    <xf numFmtId="3" fontId="9" fillId="16" borderId="19" xfId="42" applyNumberFormat="1" applyFont="1" applyFill="1" applyBorder="1" applyAlignment="1" applyProtection="1">
      <alignment vertical="center"/>
    </xf>
    <xf numFmtId="3" fontId="9" fillId="10" borderId="0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vertical="center"/>
    </xf>
    <xf numFmtId="3" fontId="9" fillId="10" borderId="19" xfId="42" applyNumberFormat="1" applyFont="1" applyFill="1" applyBorder="1" applyAlignment="1" applyProtection="1">
      <alignment vertical="center"/>
    </xf>
    <xf numFmtId="3" fontId="9" fillId="10" borderId="20" xfId="42" applyNumberFormat="1" applyFont="1" applyFill="1" applyBorder="1" applyAlignment="1" applyProtection="1">
      <alignment vertical="center"/>
    </xf>
    <xf numFmtId="3" fontId="9" fillId="10" borderId="16" xfId="42" applyNumberFormat="1" applyFont="1" applyFill="1" applyBorder="1" applyAlignment="1" applyProtection="1">
      <alignment vertical="center"/>
    </xf>
    <xf numFmtId="42" fontId="1" fillId="16" borderId="2" xfId="30" applyNumberFormat="1" applyFont="1" applyFill="1" applyBorder="1"/>
    <xf numFmtId="1" fontId="3" fillId="0" borderId="6" xfId="12" applyNumberFormat="1" applyFont="1" applyFill="1" applyBorder="1" applyAlignment="1" applyProtection="1">
      <alignment horizontal="center" vertical="center"/>
    </xf>
    <xf numFmtId="9" fontId="2" fillId="17" borderId="20" xfId="31" applyNumberFormat="1" applyFill="1" applyBorder="1" applyAlignment="1" applyProtection="1">
      <alignment horizontal="right" vertical="center"/>
      <protection locked="0"/>
    </xf>
    <xf numFmtId="10" fontId="70" fillId="0" borderId="0" xfId="31" applyNumberFormat="1" applyFont="1" applyAlignment="1">
      <alignment horizontal="right" vertical="top"/>
    </xf>
    <xf numFmtId="10" fontId="70" fillId="0" borderId="0" xfId="22" applyNumberFormat="1" applyFont="1" applyBorder="1" applyAlignment="1">
      <alignment horizontal="right" vertical="center"/>
    </xf>
    <xf numFmtId="10" fontId="70" fillId="0" borderId="0" xfId="31" applyNumberFormat="1" applyFont="1" applyAlignment="1">
      <alignment horizontal="right"/>
    </xf>
    <xf numFmtId="10" fontId="71" fillId="0" borderId="0" xfId="33" applyNumberFormat="1" applyFont="1"/>
    <xf numFmtId="10" fontId="70" fillId="0" borderId="0" xfId="22" applyNumberFormat="1" applyFont="1" applyFill="1" applyBorder="1" applyAlignment="1" applyProtection="1">
      <alignment vertical="center"/>
    </xf>
    <xf numFmtId="10" fontId="70" fillId="0" borderId="0" xfId="33" applyNumberFormat="1" applyFont="1"/>
    <xf numFmtId="174" fontId="2" fillId="17" borderId="20" xfId="30" applyNumberFormat="1" applyFill="1" applyBorder="1" applyAlignment="1" applyProtection="1">
      <alignment vertical="center"/>
      <protection locked="0"/>
    </xf>
    <xf numFmtId="0" fontId="5" fillId="0" borderId="19" xfId="33" applyFont="1" applyBorder="1" applyAlignment="1">
      <alignment vertical="center"/>
    </xf>
    <xf numFmtId="168" fontId="10" fillId="0" borderId="43" xfId="31" applyNumberFormat="1" applyFont="1" applyBorder="1" applyAlignment="1">
      <alignment vertical="center"/>
    </xf>
    <xf numFmtId="10" fontId="9" fillId="17" borderId="0" xfId="12" applyNumberFormat="1" applyFont="1" applyFill="1" applyBorder="1" applyAlignment="1" applyProtection="1">
      <alignment horizontal="right" vertical="center"/>
      <protection locked="0"/>
    </xf>
    <xf numFmtId="42" fontId="9" fillId="10" borderId="24" xfId="33" applyNumberFormat="1" applyFont="1" applyFill="1" applyBorder="1"/>
    <xf numFmtId="0" fontId="3" fillId="0" borderId="0" xfId="31" applyFont="1" applyAlignment="1">
      <alignment horizontal="left" vertical="center"/>
    </xf>
    <xf numFmtId="0" fontId="3" fillId="0" borderId="2" xfId="31" applyFont="1" applyBorder="1" applyAlignment="1">
      <alignment horizontal="left" vertical="center"/>
    </xf>
    <xf numFmtId="0" fontId="3" fillId="0" borderId="2" xfId="31" applyFont="1" applyBorder="1" applyAlignment="1">
      <alignment vertical="center"/>
    </xf>
    <xf numFmtId="0" fontId="3" fillId="0" borderId="0" xfId="31" applyFont="1" applyAlignment="1">
      <alignment vertical="center"/>
    </xf>
    <xf numFmtId="0" fontId="14" fillId="16" borderId="0" xfId="33" applyFont="1" applyFill="1" applyAlignment="1">
      <alignment vertical="center"/>
    </xf>
    <xf numFmtId="1" fontId="10" fillId="16" borderId="16" xfId="33" applyNumberFormat="1" applyFont="1" applyFill="1" applyBorder="1" applyAlignment="1">
      <alignment horizontal="left" vertical="center"/>
    </xf>
    <xf numFmtId="10" fontId="17" fillId="0" borderId="0" xfId="33" applyNumberFormat="1" applyFont="1" applyAlignment="1">
      <alignment horizontal="right" wrapText="1"/>
    </xf>
    <xf numFmtId="1" fontId="10" fillId="16" borderId="0" xfId="33" applyNumberFormat="1" applyFont="1" applyFill="1" applyAlignment="1">
      <alignment horizontal="left" vertical="center"/>
    </xf>
    <xf numFmtId="0" fontId="83" fillId="0" borderId="0" xfId="33" applyFont="1" applyAlignment="1">
      <alignment horizontal="left" vertical="top" wrapText="1"/>
    </xf>
    <xf numFmtId="10" fontId="59" fillId="0" borderId="0" xfId="33" applyNumberFormat="1" applyFont="1" applyAlignment="1">
      <alignment horizontal="center"/>
    </xf>
    <xf numFmtId="0" fontId="74" fillId="0" borderId="0" xfId="33" applyFont="1" applyAlignment="1">
      <alignment horizontal="left" vertical="top" wrapText="1"/>
    </xf>
    <xf numFmtId="0" fontId="2" fillId="0" borderId="6" xfId="31" applyBorder="1" applyAlignment="1">
      <alignment horizontal="left" vertical="center" wrapText="1"/>
    </xf>
    <xf numFmtId="179" fontId="78" fillId="0" borderId="0" xfId="42" applyNumberFormat="1" applyFont="1" applyBorder="1" applyAlignment="1" applyProtection="1">
      <alignment horizontal="center" vertical="center"/>
    </xf>
    <xf numFmtId="164" fontId="10" fillId="16" borderId="20" xfId="33" applyNumberFormat="1" applyFont="1" applyFill="1" applyBorder="1" applyAlignment="1">
      <alignment horizontal="left" vertical="center"/>
    </xf>
    <xf numFmtId="164" fontId="10" fillId="16" borderId="37" xfId="33" applyNumberFormat="1" applyFont="1" applyFill="1" applyBorder="1" applyAlignment="1">
      <alignment horizontal="left" vertical="center"/>
    </xf>
    <xf numFmtId="10" fontId="59" fillId="0" borderId="0" xfId="33" applyNumberFormat="1" applyFont="1" applyAlignment="1">
      <alignment horizontal="center" vertical="center"/>
    </xf>
    <xf numFmtId="10" fontId="5" fillId="0" borderId="0" xfId="33" applyNumberFormat="1" applyFont="1" applyAlignment="1">
      <alignment horizontal="left" vertical="top" wrapText="1"/>
    </xf>
    <xf numFmtId="0" fontId="2" fillId="17" borderId="0" xfId="30" applyFill="1" applyAlignment="1" applyProtection="1">
      <alignment horizontal="left" vertical="center"/>
      <protection locked="0"/>
    </xf>
    <xf numFmtId="0" fontId="86" fillId="0" borderId="0" xfId="33" applyFont="1" applyAlignment="1">
      <alignment horizontal="left" vertical="top" wrapText="1"/>
    </xf>
    <xf numFmtId="0" fontId="5" fillId="0" borderId="0" xfId="33" applyFont="1" applyAlignment="1">
      <alignment horizontal="left" vertical="top"/>
    </xf>
    <xf numFmtId="0" fontId="2" fillId="0" borderId="2" xfId="30" applyBorder="1" applyAlignment="1">
      <alignment horizontal="left" wrapText="1"/>
    </xf>
    <xf numFmtId="10" fontId="74" fillId="0" borderId="0" xfId="33" applyNumberFormat="1" applyFont="1" applyAlignment="1">
      <alignment horizontal="left" vertical="top" wrapText="1"/>
    </xf>
  </cellXfs>
  <cellStyles count="43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E$38" horiz="1" max="10" min="1" page="0" val="10"/>
</file>

<file path=xl/ctrlProps/ctrlProp10.xml><?xml version="1.0" encoding="utf-8"?>
<formControlPr xmlns="http://schemas.microsoft.com/office/spreadsheetml/2009/9/main" objectType="Scroll" dx="22" fmlaLink="$E$47" horiz="1" max="5" min="1" page="0" val="2"/>
</file>

<file path=xl/ctrlProps/ctrlProp11.xml><?xml version="1.0" encoding="utf-8"?>
<formControlPr xmlns="http://schemas.microsoft.com/office/spreadsheetml/2009/9/main" objectType="Scroll" dx="22" fmlaLink="$E$48" horiz="1" max="5" min="1" page="0"/>
</file>

<file path=xl/ctrlProps/ctrlProp12.xml><?xml version="1.0" encoding="utf-8"?>
<formControlPr xmlns="http://schemas.microsoft.com/office/spreadsheetml/2009/9/main" objectType="Scroll" dx="22" fmlaLink="$E$49" horiz="1" max="5" min="1" page="0" val="2"/>
</file>

<file path=xl/ctrlProps/ctrlProp13.xml><?xml version="1.0" encoding="utf-8"?>
<formControlPr xmlns="http://schemas.microsoft.com/office/spreadsheetml/2009/9/main" objectType="Scroll" dx="22" fmlaLink="$E$44" horiz="1" max="42" min="6" page="0" val="22"/>
</file>

<file path=xl/ctrlProps/ctrlProp14.xml><?xml version="1.0" encoding="utf-8"?>
<formControlPr xmlns="http://schemas.microsoft.com/office/spreadsheetml/2009/9/main" objectType="Scroll" dx="22" fmlaLink="$E$46" horiz="1" max="5" min="1" page="0"/>
</file>

<file path=xl/ctrlProps/ctrlProp15.xml><?xml version="1.0" encoding="utf-8"?>
<formControlPr xmlns="http://schemas.microsoft.com/office/spreadsheetml/2009/9/main" objectType="Scroll" dx="22" fmlaLink="$E$45" horiz="1" max="5" min="1" page="0" val="2"/>
</file>

<file path=xl/ctrlProps/ctrlProp16.xml><?xml version="1.0" encoding="utf-8"?>
<formControlPr xmlns="http://schemas.microsoft.com/office/spreadsheetml/2009/9/main" objectType="Scroll" dx="22" fmlaLink="$E$47" horiz="1" max="5" min="1" page="0" val="2"/>
</file>

<file path=xl/ctrlProps/ctrlProp17.xml><?xml version="1.0" encoding="utf-8"?>
<formControlPr xmlns="http://schemas.microsoft.com/office/spreadsheetml/2009/9/main" objectType="Scroll" dx="22" fmlaLink="$E$49" horiz="1" max="5" page="0" val="0"/>
</file>

<file path=xl/ctrlProps/ctrlProp18.xml><?xml version="1.0" encoding="utf-8"?>
<formControlPr xmlns="http://schemas.microsoft.com/office/spreadsheetml/2009/9/main" objectType="Scroll" dx="22" fmlaLink="$E$50" horiz="1" max="3" page="0" val="0"/>
</file>

<file path=xl/ctrlProps/ctrlProp19.xml><?xml version="1.0" encoding="utf-8"?>
<formControlPr xmlns="http://schemas.microsoft.com/office/spreadsheetml/2009/9/main" objectType="Scroll" dx="22" fmlaLink="$E$51" horiz="1" max="4" page="0" val="0"/>
</file>

<file path=xl/ctrlProps/ctrlProp2.xml><?xml version="1.0" encoding="utf-8"?>
<formControlPr xmlns="http://schemas.microsoft.com/office/spreadsheetml/2009/9/main" objectType="Scroll" dx="22" fmlaLink="$E$39" horiz="1" max="10" min="1" page="0" val="2"/>
</file>

<file path=xl/ctrlProps/ctrlProp20.xml><?xml version="1.0" encoding="utf-8"?>
<formControlPr xmlns="http://schemas.microsoft.com/office/spreadsheetml/2009/9/main" objectType="Scroll" dx="22" fmlaLink="$E$52" horiz="1" max="5" page="0" val="0"/>
</file>

<file path=xl/ctrlProps/ctrlProp21.xml><?xml version="1.0" encoding="utf-8"?>
<formControlPr xmlns="http://schemas.microsoft.com/office/spreadsheetml/2009/9/main" objectType="Scroll" dx="22" fmlaLink="$E$40" horiz="1" max="14" min="6" noThreeD="1" page="10" val="9"/>
</file>

<file path=xl/ctrlProps/ctrlProp22.xml><?xml version="1.0" encoding="utf-8"?>
<formControlPr xmlns="http://schemas.microsoft.com/office/spreadsheetml/2009/9/main" objectType="Scroll" dx="22" fmlaLink="$E$41" horiz="1" max="3" min="1" noThreeD="1" page="10" val="2"/>
</file>

<file path=xl/ctrlProps/ctrlProp23.xml><?xml version="1.0" encoding="utf-8"?>
<formControlPr xmlns="http://schemas.microsoft.com/office/spreadsheetml/2009/9/main" objectType="Scroll" dx="22" fmlaLink="$E$42" horiz="1" max="3" min="1" noThreeD="1" page="10"/>
</file>

<file path=xl/ctrlProps/ctrlProp24.xml><?xml version="1.0" encoding="utf-8"?>
<formControlPr xmlns="http://schemas.microsoft.com/office/spreadsheetml/2009/9/main" objectType="Scroll" dx="48" fmlaLink="$E$43" horiz="1" max="3" min="1" noThreeD="1" page="10" val="2"/>
</file>

<file path=xl/ctrlProps/ctrlProp25.xml><?xml version="1.0" encoding="utf-8"?>
<formControlPr xmlns="http://schemas.microsoft.com/office/spreadsheetml/2009/9/main" objectType="Scroll" dx="22" fmlaLink="$E$35" horiz="1" max="25" min="1" page="0" val="11"/>
</file>

<file path=xl/ctrlProps/ctrlProp26.xml><?xml version="1.0" encoding="utf-8"?>
<formControlPr xmlns="http://schemas.microsoft.com/office/spreadsheetml/2009/9/main" objectType="Scroll" dx="22" fmlaLink="$E$36" horiz="1" max="5" min="1" page="0"/>
</file>

<file path=xl/ctrlProps/ctrlProp27.xml><?xml version="1.0" encoding="utf-8"?>
<formControlPr xmlns="http://schemas.microsoft.com/office/spreadsheetml/2009/9/main" objectType="Scroll" dx="22" fmlaLink="$E$37" horiz="1" max="5" min="1" page="0"/>
</file>

<file path=xl/ctrlProps/ctrlProp28.xml><?xml version="1.0" encoding="utf-8"?>
<formControlPr xmlns="http://schemas.microsoft.com/office/spreadsheetml/2009/9/main" objectType="Scroll" dx="22" fmlaLink="$E$38" horiz="1" max="5" min="1" page="0"/>
</file>

<file path=xl/ctrlProps/ctrlProp29.xml><?xml version="1.0" encoding="utf-8"?>
<formControlPr xmlns="http://schemas.microsoft.com/office/spreadsheetml/2009/9/main" objectType="Scroll" dx="22" fmlaLink="$E$42" horiz="1" max="5" page="0" val="0"/>
</file>

<file path=xl/ctrlProps/ctrlProp3.xml><?xml version="1.0" encoding="utf-8"?>
<formControlPr xmlns="http://schemas.microsoft.com/office/spreadsheetml/2009/9/main" objectType="Scroll" dx="22" fmlaLink="$E$40" horiz="1" max="10" min="1" page="0"/>
</file>

<file path=xl/ctrlProps/ctrlProp30.xml><?xml version="1.0" encoding="utf-8"?>
<formControlPr xmlns="http://schemas.microsoft.com/office/spreadsheetml/2009/9/main" objectType="Scroll" dx="22" fmlaLink="$E$41" horiz="1" max="3" page="0" val="0"/>
</file>

<file path=xl/ctrlProps/ctrlProp31.xml><?xml version="1.0" encoding="utf-8"?>
<formControlPr xmlns="http://schemas.microsoft.com/office/spreadsheetml/2009/9/main" objectType="Scroll" dx="22" fmlaLink="$E$40" horiz="1" max="3" page="0" val="0"/>
</file>

<file path=xl/ctrlProps/ctrlProp32.xml><?xml version="1.0" encoding="utf-8"?>
<formControlPr xmlns="http://schemas.microsoft.com/office/spreadsheetml/2009/9/main" objectType="Scroll" dx="22" fmlaLink="$E$43" horiz="1" max="42" min="8" page="0" val="22"/>
</file>

<file path=xl/ctrlProps/ctrlProp33.xml><?xml version="1.0" encoding="utf-8"?>
<formControlPr xmlns="http://schemas.microsoft.com/office/spreadsheetml/2009/9/main" objectType="Scroll" dx="22" fmlaLink="$E$44" horiz="1" max="5" min="1" page="0" val="2"/>
</file>

<file path=xl/ctrlProps/ctrlProp34.xml><?xml version="1.0" encoding="utf-8"?>
<formControlPr xmlns="http://schemas.microsoft.com/office/spreadsheetml/2009/9/main" objectType="Scroll" dx="22" fmlaLink="$E$45" horiz="1" max="5" min="1" page="0"/>
</file>

<file path=xl/ctrlProps/ctrlProp35.xml><?xml version="1.0" encoding="utf-8"?>
<formControlPr xmlns="http://schemas.microsoft.com/office/spreadsheetml/2009/9/main" objectType="Scroll" dx="22" fmlaLink="$E$46" horiz="1" max="5" min="1" page="0" val="2"/>
</file>

<file path=xl/ctrlProps/ctrlProp36.xml><?xml version="1.0" encoding="utf-8"?>
<formControlPr xmlns="http://schemas.microsoft.com/office/spreadsheetml/2009/9/main" objectType="Scroll" dx="22" fmlaLink="$E$48" horiz="1" max="2" page="0" val="0"/>
</file>

<file path=xl/ctrlProps/ctrlProp37.xml><?xml version="1.0" encoding="utf-8"?>
<formControlPr xmlns="http://schemas.microsoft.com/office/spreadsheetml/2009/9/main" objectType="Scroll" dx="22" fmlaLink="$E$50" horiz="1" max="3" page="0" val="0"/>
</file>

<file path=xl/ctrlProps/ctrlProp38.xml><?xml version="1.0" encoding="utf-8"?>
<formControlPr xmlns="http://schemas.microsoft.com/office/spreadsheetml/2009/9/main" objectType="Scroll" dx="22" fmlaLink="$E$51" horiz="1" max="5" page="0" val="0"/>
</file>

<file path=xl/ctrlProps/ctrlProp39.xml><?xml version="1.0" encoding="utf-8"?>
<formControlPr xmlns="http://schemas.microsoft.com/office/spreadsheetml/2009/9/main" objectType="Scroll" dx="22" fmlaLink="$E$49" horiz="1" max="2" page="0" val="0"/>
</file>

<file path=xl/ctrlProps/ctrlProp4.xml><?xml version="1.0" encoding="utf-8"?>
<formControlPr xmlns="http://schemas.microsoft.com/office/spreadsheetml/2009/9/main" objectType="Scroll" dx="22" fmlaLink="$E$41" horiz="1" max="5" min="1" page="0" val="2"/>
</file>

<file path=xl/ctrlProps/ctrlProp40.xml><?xml version="1.0" encoding="utf-8"?>
<formControlPr xmlns="http://schemas.microsoft.com/office/spreadsheetml/2009/9/main" objectType="Scroll" dx="22" fmlaLink="$E$42" horiz="1" max="42" min="6" page="5" val="18"/>
</file>

<file path=xl/ctrlProps/ctrlProp41.xml><?xml version="1.0" encoding="utf-8"?>
<formControlPr xmlns="http://schemas.microsoft.com/office/spreadsheetml/2009/9/main" objectType="Scroll" dx="22" fmlaLink="$E$43" horiz="1" max="5" min="1" page="10"/>
</file>

<file path=xl/ctrlProps/ctrlProp42.xml><?xml version="1.0" encoding="utf-8"?>
<formControlPr xmlns="http://schemas.microsoft.com/office/spreadsheetml/2009/9/main" objectType="Scroll" dx="22" fmlaLink="$E$44" horiz="1" max="5" min="1" noThreeD="1" page="10"/>
</file>

<file path=xl/ctrlProps/ctrlProp43.xml><?xml version="1.0" encoding="utf-8"?>
<formControlPr xmlns="http://schemas.microsoft.com/office/spreadsheetml/2009/9/main" objectType="Scroll" dx="22" fmlaLink="$E$45" horiz="1" max="5" min="1" noThreeD="1" page="5"/>
</file>

<file path=xl/ctrlProps/ctrlProp44.xml><?xml version="1.0" encoding="utf-8"?>
<formControlPr xmlns="http://schemas.microsoft.com/office/spreadsheetml/2009/9/main" objectType="Scroll" dx="22" fmlaLink="$E$47" horiz="1" max="5" noThreeD="1" page="10" val="0"/>
</file>

<file path=xl/ctrlProps/ctrlProp45.xml><?xml version="1.0" encoding="utf-8"?>
<formControlPr xmlns="http://schemas.microsoft.com/office/spreadsheetml/2009/9/main" objectType="Scroll" dx="22" fmlaLink="$E$48" horiz="1" max="3" noThreeD="1" page="10" val="0"/>
</file>

<file path=xl/ctrlProps/ctrlProp46.xml><?xml version="1.0" encoding="utf-8"?>
<formControlPr xmlns="http://schemas.microsoft.com/office/spreadsheetml/2009/9/main" objectType="Scroll" dx="22" fmlaLink="$E$42" horiz="1" max="42" min="6" noThreeD="1" page="10" val="19"/>
</file>

<file path=xl/ctrlProps/ctrlProp47.xml><?xml version="1.0" encoding="utf-8"?>
<formControlPr xmlns="http://schemas.microsoft.com/office/spreadsheetml/2009/9/main" objectType="Scroll" dx="22" fmlaLink="$E$43" horiz="1" max="5" min="1" noThreeD="1" page="10"/>
</file>

<file path=xl/ctrlProps/ctrlProp48.xml><?xml version="1.0" encoding="utf-8"?>
<formControlPr xmlns="http://schemas.microsoft.com/office/spreadsheetml/2009/9/main" objectType="Scroll" dx="22" fmlaLink="$E$44" horiz="1" max="5" min="1" noThreeD="1" page="10"/>
</file>

<file path=xl/ctrlProps/ctrlProp49.xml><?xml version="1.0" encoding="utf-8"?>
<formControlPr xmlns="http://schemas.microsoft.com/office/spreadsheetml/2009/9/main" objectType="Scroll" dx="48" fmlaLink="$E$45" horiz="1" max="5" min="1" noThreeD="1" page="10"/>
</file>

<file path=xl/ctrlProps/ctrlProp5.xml><?xml version="1.0" encoding="utf-8"?>
<formControlPr xmlns="http://schemas.microsoft.com/office/spreadsheetml/2009/9/main" objectType="Scroll" dx="22" fmlaLink="$E$43" horiz="1" max="5" page="0" val="0"/>
</file>

<file path=xl/ctrlProps/ctrlProp50.xml><?xml version="1.0" encoding="utf-8"?>
<formControlPr xmlns="http://schemas.microsoft.com/office/spreadsheetml/2009/9/main" objectType="Scroll" dx="22" fmlaLink="$E$47" horiz="1" max="5" noThreeD="1" page="10" val="0"/>
</file>

<file path=xl/ctrlProps/ctrlProp51.xml><?xml version="1.0" encoding="utf-8"?>
<formControlPr xmlns="http://schemas.microsoft.com/office/spreadsheetml/2009/9/main" objectType="Scroll" dx="22" fmlaLink="$E$48" horiz="1" max="3" noThreeD="1" page="10" val="0"/>
</file>

<file path=xl/ctrlProps/ctrlProp52.xml><?xml version="1.0" encoding="utf-8"?>
<formControlPr xmlns="http://schemas.microsoft.com/office/spreadsheetml/2009/9/main" objectType="Scroll" dx="22" fmlaLink="$E$43" horiz="1" max="42" min="6" noThreeD="1" page="10" val="19"/>
</file>

<file path=xl/ctrlProps/ctrlProp53.xml><?xml version="1.0" encoding="utf-8"?>
<formControlPr xmlns="http://schemas.microsoft.com/office/spreadsheetml/2009/9/main" objectType="Scroll" dx="22" fmlaLink="$E$44" horiz="1" max="5" min="1" noThreeD="1" page="10"/>
</file>

<file path=xl/ctrlProps/ctrlProp54.xml><?xml version="1.0" encoding="utf-8"?>
<formControlPr xmlns="http://schemas.microsoft.com/office/spreadsheetml/2009/9/main" objectType="Scroll" dx="22" fmlaLink="$E$45" horiz="1" max="5" min="1" noThreeD="1" page="10"/>
</file>

<file path=xl/ctrlProps/ctrlProp55.xml><?xml version="1.0" encoding="utf-8"?>
<formControlPr xmlns="http://schemas.microsoft.com/office/spreadsheetml/2009/9/main" objectType="Scroll" dx="48" fmlaLink="$E$46" horiz="1" max="5" min="1" noThreeD="1" page="10"/>
</file>

<file path=xl/ctrlProps/ctrlProp56.xml><?xml version="1.0" encoding="utf-8"?>
<formControlPr xmlns="http://schemas.microsoft.com/office/spreadsheetml/2009/9/main" objectType="Scroll" dx="22" fmlaLink="$E$48" horiz="1" max="5" noThreeD="1" page="10" val="0"/>
</file>

<file path=xl/ctrlProps/ctrlProp57.xml><?xml version="1.0" encoding="utf-8"?>
<formControlPr xmlns="http://schemas.microsoft.com/office/spreadsheetml/2009/9/main" objectType="Scroll" dx="22" fmlaLink="$E$49" horiz="1" max="3" noThreeD="1" page="10" val="0"/>
</file>

<file path=xl/ctrlProps/ctrlProp58.xml><?xml version="1.0" encoding="utf-8"?>
<formControlPr xmlns="http://schemas.microsoft.com/office/spreadsheetml/2009/9/main" objectType="Scroll" dx="22" fmlaLink="$E$42" horiz="1" max="42" min="6" page="0" val="22"/>
</file>

<file path=xl/ctrlProps/ctrlProp59.xml><?xml version="1.0" encoding="utf-8"?>
<formControlPr xmlns="http://schemas.microsoft.com/office/spreadsheetml/2009/9/main" objectType="Scroll" dx="22" fmlaLink="$E$44" horiz="1" max="5" min="1" page="0"/>
</file>

<file path=xl/ctrlProps/ctrlProp6.xml><?xml version="1.0" encoding="utf-8"?>
<formControlPr xmlns="http://schemas.microsoft.com/office/spreadsheetml/2009/9/main" objectType="Scroll" dx="22" fmlaLink="$E$44" horiz="1" max="3" page="0" val="0"/>
</file>

<file path=xl/ctrlProps/ctrlProp60.xml><?xml version="1.0" encoding="utf-8"?>
<formControlPr xmlns="http://schemas.microsoft.com/office/spreadsheetml/2009/9/main" objectType="Scroll" dx="22" fmlaLink="$E$45" horiz="1" max="5" min="1" page="0"/>
</file>

<file path=xl/ctrlProps/ctrlProp61.xml><?xml version="1.0" encoding="utf-8"?>
<formControlPr xmlns="http://schemas.microsoft.com/office/spreadsheetml/2009/9/main" objectType="Scroll" dx="22" fmlaLink="$E$47" horiz="1" max="3" page="0" val="0"/>
</file>

<file path=xl/ctrlProps/ctrlProp62.xml><?xml version="1.0" encoding="utf-8"?>
<formControlPr xmlns="http://schemas.microsoft.com/office/spreadsheetml/2009/9/main" objectType="Scroll" dx="22" fmlaLink="$E$48" horiz="1" max="3" page="0" val="0"/>
</file>

<file path=xl/ctrlProps/ctrlProp63.xml><?xml version="1.0" encoding="utf-8"?>
<formControlPr xmlns="http://schemas.microsoft.com/office/spreadsheetml/2009/9/main" objectType="Scroll" dx="22" fmlaLink="$E$49" horiz="1" max="3" page="0" val="0"/>
</file>

<file path=xl/ctrlProps/ctrlProp64.xml><?xml version="1.0" encoding="utf-8"?>
<formControlPr xmlns="http://schemas.microsoft.com/office/spreadsheetml/2009/9/main" objectType="Scroll" dx="22" fmlaLink="$E$43" horiz="1" max="5" min="1" page="0" val="2"/>
</file>

<file path=xl/ctrlProps/ctrlProp65.xml><?xml version="1.0" encoding="utf-8"?>
<formControlPr xmlns="http://schemas.microsoft.com/office/spreadsheetml/2009/9/main" objectType="Scroll" dx="22" fmlaLink="$E$46" horiz="1" max="42" min="6" page="0" val="22"/>
</file>

<file path=xl/ctrlProps/ctrlProp66.xml><?xml version="1.0" encoding="utf-8"?>
<formControlPr xmlns="http://schemas.microsoft.com/office/spreadsheetml/2009/9/main" objectType="Scroll" dx="22" fmlaLink="$E$47" horiz="1" max="5" min="1" page="0"/>
</file>

<file path=xl/ctrlProps/ctrlProp67.xml><?xml version="1.0" encoding="utf-8"?>
<formControlPr xmlns="http://schemas.microsoft.com/office/spreadsheetml/2009/9/main" objectType="Scroll" dx="22" fmlaLink="$E$48" horiz="1" max="5" min="1" page="0"/>
</file>

<file path=xl/ctrlProps/ctrlProp68.xml><?xml version="1.0" encoding="utf-8"?>
<formControlPr xmlns="http://schemas.microsoft.com/office/spreadsheetml/2009/9/main" objectType="Scroll" dx="22" fmlaLink="$E$49" horiz="1" max="5" min="1" page="0"/>
</file>

<file path=xl/ctrlProps/ctrlProp69.xml><?xml version="1.0" encoding="utf-8"?>
<formControlPr xmlns="http://schemas.microsoft.com/office/spreadsheetml/2009/9/main" objectType="Scroll" dx="22" fmlaLink="$E$51" horiz="1" max="5" page="0" val="0"/>
</file>

<file path=xl/ctrlProps/ctrlProp7.xml><?xml version="1.0" encoding="utf-8"?>
<formControlPr xmlns="http://schemas.microsoft.com/office/spreadsheetml/2009/9/main" objectType="Scroll" dx="22" fmlaLink="$E$45" horiz="1" max="3" page="0" val="0"/>
</file>

<file path=xl/ctrlProps/ctrlProp70.xml><?xml version="1.0" encoding="utf-8"?>
<formControlPr xmlns="http://schemas.microsoft.com/office/spreadsheetml/2009/9/main" objectType="Scroll" dx="22" fmlaLink="$E$52" horiz="1" max="3" page="0" val="0"/>
</file>

<file path=xl/ctrlProps/ctrlProp8.xml><?xml version="1.0" encoding="utf-8"?>
<formControlPr xmlns="http://schemas.microsoft.com/office/spreadsheetml/2009/9/main" objectType="Scroll" dx="22" fmlaLink="$E$46" horiz="1" max="5" page="0" val="0"/>
</file>

<file path=xl/ctrlProps/ctrlProp9.xml><?xml version="1.0" encoding="utf-8"?>
<formControlPr xmlns="http://schemas.microsoft.com/office/spreadsheetml/2009/9/main" objectType="Scroll" dx="22" fmlaLink="$E$46" horiz="1" max="25" min="1" page="0" val="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25403</xdr:colOff>
      <xdr:row>32</xdr:row>
      <xdr:rowOff>157244</xdr:rowOff>
    </xdr:from>
    <xdr:to>
      <xdr:col>8</xdr:col>
      <xdr:colOff>682632</xdr:colOff>
      <xdr:row>51</xdr:row>
      <xdr:rowOff>89698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464053" y="3957719"/>
          <a:ext cx="3228979" cy="2589929"/>
          <a:chOff x="4483096" y="5078632"/>
          <a:chExt cx="3178179" cy="2655671"/>
        </a:xfrm>
      </xdr:grpSpPr>
      <xdr:grpSp>
        <xdr:nvGrpSpPr>
          <xdr:cNvPr id="7" name="Gruppieren 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>
            <a:grpSpLocks/>
          </xdr:cNvGrpSpPr>
        </xdr:nvGrpSpPr>
        <xdr:grpSpPr bwMode="auto">
          <a:xfrm>
            <a:off x="4483096" y="5179121"/>
            <a:ext cx="1290342" cy="2555182"/>
            <a:chOff x="4881355" y="5783712"/>
            <a:chExt cx="700592" cy="2370207"/>
          </a:xfrm>
        </xdr:grpSpPr>
        <xdr:cxnSp macro="">
          <xdr:nvCxnSpPr>
            <xdr:cNvPr id="10" name="Gerade Verbindung 4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CxnSpPr/>
          </xdr:nvCxnSpPr>
          <xdr:spPr>
            <a:xfrm flipH="1">
              <a:off x="5576505" y="5783712"/>
              <a:ext cx="5442" cy="237020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Gerade Verbindung mit Pfeil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5766594" y="5181815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Gerader Verbinder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H="1" flipV="1">
            <a:off x="7658894" y="5078632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28575</xdr:rowOff>
        </xdr:from>
        <xdr:to>
          <xdr:col>8</xdr:col>
          <xdr:colOff>1019175</xdr:colOff>
          <xdr:row>37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38</xdr:row>
          <xdr:rowOff>28575</xdr:rowOff>
        </xdr:from>
        <xdr:to>
          <xdr:col>8</xdr:col>
          <xdr:colOff>1019175</xdr:colOff>
          <xdr:row>38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28575</xdr:rowOff>
        </xdr:from>
        <xdr:to>
          <xdr:col>8</xdr:col>
          <xdr:colOff>1019175</xdr:colOff>
          <xdr:row>39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28575</xdr:rowOff>
        </xdr:from>
        <xdr:to>
          <xdr:col>8</xdr:col>
          <xdr:colOff>1019175</xdr:colOff>
          <xdr:row>40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697058</xdr:colOff>
      <xdr:row>36</xdr:row>
      <xdr:rowOff>147204</xdr:rowOff>
    </xdr:from>
    <xdr:to>
      <xdr:col>8</xdr:col>
      <xdr:colOff>400195</xdr:colOff>
      <xdr:row>46</xdr:row>
      <xdr:rowOff>45973</xdr:rowOff>
    </xdr:to>
    <xdr:grpSp>
      <xdr:nvGrpSpPr>
        <xdr:cNvPr id="1062" name="Gruppieren 1061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GrpSpPr/>
      </xdr:nvGrpSpPr>
      <xdr:grpSpPr>
        <a:xfrm>
          <a:off x="6726383" y="4490604"/>
          <a:ext cx="684212" cy="1413244"/>
          <a:chOff x="6706948" y="4489191"/>
          <a:chExt cx="683938" cy="1415652"/>
        </a:xfrm>
      </xdr:grpSpPr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rot="16200000" flipV="1">
            <a:off x="6536266" y="5383896"/>
            <a:ext cx="490436" cy="145917"/>
          </a:xfrm>
          <a:prstGeom prst="bentConnector3">
            <a:avLst>
              <a:gd name="adj1" fmla="val 657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Gerader Verbinder 1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rot="5400000" flipH="1" flipV="1">
            <a:off x="7057020" y="5377845"/>
            <a:ext cx="498598" cy="166182"/>
          </a:xfrm>
          <a:prstGeom prst="bentConnector3">
            <a:avLst>
              <a:gd name="adj1" fmla="val 6544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rot="16200000" flipV="1">
            <a:off x="6417442" y="4778697"/>
            <a:ext cx="726501" cy="147489"/>
          </a:xfrm>
          <a:prstGeom prst="bentConnector3">
            <a:avLst>
              <a:gd name="adj1" fmla="val 7597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Verbinder: gewinkelt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rot="5400000" flipH="1" flipV="1">
            <a:off x="6938459" y="4774292"/>
            <a:ext cx="714004" cy="152578"/>
          </a:xfrm>
          <a:prstGeom prst="bentConnector3">
            <a:avLst>
              <a:gd name="adj1" fmla="val 7519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38" name="Gerader Verbinder 13">
            <a:extLst>
              <a:ext uri="{FF2B5EF4-FFF2-40B4-BE49-F238E27FC236}">
                <a16:creationId xmlns:a16="http://schemas.microsoft.com/office/drawing/2014/main" id="{00000000-0008-0000-0100-00000E040000}"/>
              </a:ext>
            </a:extLst>
          </xdr:cNvPr>
          <xdr:cNvCxnSpPr/>
        </xdr:nvCxnSpPr>
        <xdr:spPr>
          <a:xfrm rot="5400000">
            <a:off x="6637539" y="5663622"/>
            <a:ext cx="291944" cy="141866"/>
          </a:xfrm>
          <a:prstGeom prst="bentConnector3">
            <a:avLst>
              <a:gd name="adj1" fmla="val 4166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39" name="Gerader Verbinder 13">
            <a:extLst>
              <a:ext uri="{FF2B5EF4-FFF2-40B4-BE49-F238E27FC236}">
                <a16:creationId xmlns:a16="http://schemas.microsoft.com/office/drawing/2014/main" id="{00000000-0008-0000-0100-00000F040000}"/>
              </a:ext>
            </a:extLst>
          </xdr:cNvPr>
          <xdr:cNvCxnSpPr/>
        </xdr:nvCxnSpPr>
        <xdr:spPr>
          <a:xfrm rot="16200000" flipV="1">
            <a:off x="7150214" y="5681864"/>
            <a:ext cx="295993" cy="149966"/>
          </a:xfrm>
          <a:prstGeom prst="bentConnector3">
            <a:avLst>
              <a:gd name="adj1" fmla="val 6643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54" name="Gerader Verbinder 13">
            <a:extLst>
              <a:ext uri="{FF2B5EF4-FFF2-40B4-BE49-F238E27FC236}">
                <a16:creationId xmlns:a16="http://schemas.microsoft.com/office/drawing/2014/main" id="{00000000-0008-0000-0100-00001E040000}"/>
              </a:ext>
            </a:extLst>
          </xdr:cNvPr>
          <xdr:cNvCxnSpPr/>
        </xdr:nvCxnSpPr>
        <xdr:spPr>
          <a:xfrm rot="5400000">
            <a:off x="6694532" y="5144785"/>
            <a:ext cx="172480" cy="144166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55" name="Gerader Verbinder 13">
            <a:extLst>
              <a:ext uri="{FF2B5EF4-FFF2-40B4-BE49-F238E27FC236}">
                <a16:creationId xmlns:a16="http://schemas.microsoft.com/office/drawing/2014/main" id="{00000000-0008-0000-0100-00001F040000}"/>
              </a:ext>
            </a:extLst>
          </xdr:cNvPr>
          <xdr:cNvCxnSpPr/>
        </xdr:nvCxnSpPr>
        <xdr:spPr>
          <a:xfrm rot="16200000" flipV="1">
            <a:off x="7189132" y="5129672"/>
            <a:ext cx="232017" cy="17149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5947</xdr:colOff>
      <xdr:row>35</xdr:row>
      <xdr:rowOff>145916</xdr:rowOff>
    </xdr:from>
    <xdr:to>
      <xdr:col>8</xdr:col>
      <xdr:colOff>723316</xdr:colOff>
      <xdr:row>54</xdr:row>
      <xdr:rowOff>94017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4435072" y="4394066"/>
          <a:ext cx="3298644" cy="2357926"/>
          <a:chOff x="4483093" y="5298566"/>
          <a:chExt cx="3041305" cy="2435736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5766594" y="5358458"/>
            <a:ext cx="1752936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CxnSpPr/>
        </xdr:nvCxnSpPr>
        <xdr:spPr>
          <a:xfrm flipV="1">
            <a:off x="7524398" y="5298566"/>
            <a:ext cx="0" cy="6234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41985" name="Scroll Bar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41987" name="Scroll Bar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A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41988" name="Scroll Bar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A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41989" name="Scroll Bar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A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41990" name="Scroll Bar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A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41991" name="Scroll Bar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00000000-0008-0000-0A00-00000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41986" name="Scroll Bar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701197</xdr:colOff>
      <xdr:row>40</xdr:row>
      <xdr:rowOff>121597</xdr:rowOff>
    </xdr:from>
    <xdr:to>
      <xdr:col>8</xdr:col>
      <xdr:colOff>340466</xdr:colOff>
      <xdr:row>49</xdr:row>
      <xdr:rowOff>34637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pSpPr/>
      </xdr:nvGrpSpPr>
      <xdr:grpSpPr>
        <a:xfrm>
          <a:off x="6730522" y="4950772"/>
          <a:ext cx="620344" cy="1265590"/>
          <a:chOff x="7035977" y="4730945"/>
          <a:chExt cx="669232" cy="1429998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CxnSpPr/>
        </xdr:nvCxnSpPr>
        <xdr:spPr>
          <a:xfrm rot="5400000" flipH="1" flipV="1">
            <a:off x="7050725" y="5634284"/>
            <a:ext cx="1043981" cy="68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CxnSpPr/>
        </xdr:nvCxnSpPr>
        <xdr:spPr>
          <a:xfrm rot="16200000" flipV="1">
            <a:off x="6922396" y="4853675"/>
            <a:ext cx="372536" cy="145373"/>
          </a:xfrm>
          <a:prstGeom prst="bentConnector3">
            <a:avLst>
              <a:gd name="adj1" fmla="val 414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CxnSpPr/>
        </xdr:nvCxnSpPr>
        <xdr:spPr>
          <a:xfrm rot="16200000" flipV="1">
            <a:off x="6653349" y="5631576"/>
            <a:ext cx="1057371" cy="1364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CxnSpPr/>
        </xdr:nvCxnSpPr>
        <xdr:spPr>
          <a:xfrm rot="5400000" flipH="1" flipV="1">
            <a:off x="7446445" y="4858703"/>
            <a:ext cx="386522" cy="131006"/>
          </a:xfrm>
          <a:prstGeom prst="bentConnector3">
            <a:avLst>
              <a:gd name="adj1" fmla="val 4053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43009" name="Scroll Bar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B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43010" name="Scroll Bar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B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43011" name="Scroll Bar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B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43012" name="Scroll Bar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B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43013" name="Scroll Bar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B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43014" name="Scroll Bar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B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45983</xdr:colOff>
      <xdr:row>39</xdr:row>
      <xdr:rowOff>151627</xdr:rowOff>
    </xdr:from>
    <xdr:to>
      <xdr:col>8</xdr:col>
      <xdr:colOff>752475</xdr:colOff>
      <xdr:row>57</xdr:row>
      <xdr:rowOff>77767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4475108" y="5276077"/>
          <a:ext cx="3287767" cy="2478840"/>
          <a:chOff x="4483093" y="4890954"/>
          <a:chExt cx="3178182" cy="2843347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4998289"/>
            <a:ext cx="1285378" cy="2736012"/>
            <a:chOff x="4881355" y="5615972"/>
            <a:chExt cx="697897" cy="2537947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CxnSpPr/>
          </xdr:nvCxnSpPr>
          <xdr:spPr>
            <a:xfrm flipH="1">
              <a:off x="5576505" y="5615972"/>
              <a:ext cx="1291" cy="253794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>
          <a:xfrm>
            <a:off x="5766594" y="4994194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CxnSpPr/>
        </xdr:nvCxnSpPr>
        <xdr:spPr>
          <a:xfrm flipH="1" flipV="1">
            <a:off x="7658894" y="489095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709419</xdr:colOff>
      <xdr:row>44</xdr:row>
      <xdr:rowOff>98534</xdr:rowOff>
    </xdr:from>
    <xdr:to>
      <xdr:col>8</xdr:col>
      <xdr:colOff>343863</xdr:colOff>
      <xdr:row>52</xdr:row>
      <xdr:rowOff>40532</xdr:rowOff>
    </xdr:to>
    <xdr:grpSp>
      <xdr:nvGrpSpPr>
        <xdr:cNvPr id="21" name="Gruppieren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GrpSpPr/>
      </xdr:nvGrpSpPr>
      <xdr:grpSpPr>
        <a:xfrm>
          <a:off x="6738744" y="5984984"/>
          <a:ext cx="615519" cy="1132623"/>
          <a:chOff x="7153994" y="5916182"/>
          <a:chExt cx="684221" cy="1545744"/>
        </a:xfrm>
      </xdr:grpSpPr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CxnSpPr/>
        </xdr:nvCxnSpPr>
        <xdr:spPr>
          <a:xfrm rot="16200000" flipV="1">
            <a:off x="6457338" y="6615412"/>
            <a:ext cx="1543170" cy="149857"/>
          </a:xfrm>
          <a:prstGeom prst="bentConnector3">
            <a:avLst>
              <a:gd name="adj1" fmla="val 7941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Verbinder: gewinkelt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CxnSpPr/>
        </xdr:nvCxnSpPr>
        <xdr:spPr>
          <a:xfrm rot="5400000" flipH="1" flipV="1">
            <a:off x="6986636" y="6610347"/>
            <a:ext cx="1545744" cy="157414"/>
          </a:xfrm>
          <a:prstGeom prst="bentConnector3">
            <a:avLst>
              <a:gd name="adj1" fmla="val 7963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</xdr:colOff>
      <xdr:row>64</xdr:row>
      <xdr:rowOff>19050</xdr:rowOff>
    </xdr:from>
    <xdr:to>
      <xdr:col>8</xdr:col>
      <xdr:colOff>231775</xdr:colOff>
      <xdr:row>70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5608320" y="8572500"/>
          <a:ext cx="1633855" cy="1085850"/>
          <a:chOff x="9837796" y="7172176"/>
          <a:chExt cx="1219418" cy="1050028"/>
        </a:xfrm>
      </xdr:grpSpPr>
      <xdr:sp macro="" textlink="">
        <xdr:nvSpPr>
          <xdr:cNvPr id="3" name="Geschweifte Klammer links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 bwMode="auto">
          <a:xfrm flipH="1" flipV="1">
            <a:off x="9837796" y="7172176"/>
            <a:ext cx="114320" cy="1050028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9942590" y="7540607"/>
            <a:ext cx="1114624" cy="396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Planungs-</a:t>
            </a:r>
            <a:b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6</xdr:col>
      <xdr:colOff>121920</xdr:colOff>
      <xdr:row>71</xdr:row>
      <xdr:rowOff>28711</xdr:rowOff>
    </xdr:from>
    <xdr:to>
      <xdr:col>8</xdr:col>
      <xdr:colOff>431800</xdr:colOff>
      <xdr:row>73</xdr:row>
      <xdr:rowOff>142876</xdr:rowOff>
    </xdr:to>
    <xdr:grpSp>
      <xdr:nvGrpSpPr>
        <xdr:cNvPr id="5" name="Gruppieren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5598795" y="9715636"/>
          <a:ext cx="1843405" cy="438015"/>
          <a:chOff x="9827458" y="7371083"/>
          <a:chExt cx="1229756" cy="756882"/>
        </a:xfrm>
      </xdr:grpSpPr>
      <xdr:sp macro="" textlink="">
        <xdr:nvSpPr>
          <xdr:cNvPr id="6" name="Geschweifte Klammer links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 flipH="1" flipV="1">
            <a:off x="9827458" y="7371083"/>
            <a:ext cx="122976" cy="756882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 bwMode="auto">
          <a:xfrm>
            <a:off x="9942235" y="7495236"/>
            <a:ext cx="1114979" cy="632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Baustellen-</a:t>
            </a:r>
          </a:p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5</xdr:col>
      <xdr:colOff>50800</xdr:colOff>
      <xdr:row>40</xdr:row>
      <xdr:rowOff>0</xdr:rowOff>
    </xdr:from>
    <xdr:to>
      <xdr:col>8</xdr:col>
      <xdr:colOff>650882</xdr:colOff>
      <xdr:row>54</xdr:row>
      <xdr:rowOff>92872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4479925" y="5286375"/>
          <a:ext cx="3181357" cy="2102647"/>
          <a:chOff x="4483093" y="4726781"/>
          <a:chExt cx="3178182" cy="2137572"/>
        </a:xfrm>
      </xdr:grpSpPr>
      <xdr:grpSp>
        <xdr:nvGrpSpPr>
          <xdr:cNvPr id="9" name="Gruppieren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2"/>
            <a:ext cx="1285378" cy="2038081"/>
            <a:chOff x="4881355" y="5456406"/>
            <a:chExt cx="697897" cy="1890540"/>
          </a:xfrm>
        </xdr:grpSpPr>
        <xdr:cxnSp macro="">
          <xdr:nvCxnSpPr>
            <xdr:cNvPr id="12" name="Gerade Verbindung 4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 flipH="1">
              <a:off x="5579191" y="5456406"/>
              <a:ext cx="4" cy="1886046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Gerade Verbindung mit Pfeil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24577" name="Scroll Bar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24578" name="Scroll Bar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24579" name="Scroll Bar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24580" name="Scroll Bar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714597</xdr:colOff>
      <xdr:row>44</xdr:row>
      <xdr:rowOff>136071</xdr:rowOff>
    </xdr:from>
    <xdr:to>
      <xdr:col>8</xdr:col>
      <xdr:colOff>319784</xdr:colOff>
      <xdr:row>49</xdr:row>
      <xdr:rowOff>1269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6743922" y="6022521"/>
          <a:ext cx="586262" cy="674823"/>
          <a:chOff x="7181375" y="5961221"/>
          <a:chExt cx="652937" cy="818038"/>
        </a:xfrm>
      </xdr:grpSpPr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rot="16200000" flipV="1">
            <a:off x="6844055" y="6298541"/>
            <a:ext cx="818038" cy="143397"/>
          </a:xfrm>
          <a:prstGeom prst="bentConnector3">
            <a:avLst>
              <a:gd name="adj1" fmla="val 7171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Verbinder: gewinkelt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 rot="5400000" flipH="1" flipV="1">
            <a:off x="7362444" y="6304527"/>
            <a:ext cx="812686" cy="131051"/>
          </a:xfrm>
          <a:prstGeom prst="bentConnector3">
            <a:avLst>
              <a:gd name="adj1" fmla="val 7105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980216</xdr:colOff>
      <xdr:row>8</xdr:row>
      <xdr:rowOff>15565</xdr:rowOff>
    </xdr:from>
    <xdr:to>
      <xdr:col>5</xdr:col>
      <xdr:colOff>237999</xdr:colOff>
      <xdr:row>20</xdr:row>
      <xdr:rowOff>142876</xdr:rowOff>
    </xdr:to>
    <xdr:grpSp>
      <xdr:nvGrpSpPr>
        <xdr:cNvPr id="2" name="Gruppieren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837841" y="1025215"/>
          <a:ext cx="238858" cy="1670361"/>
          <a:chOff x="5416825" y="1956764"/>
          <a:chExt cx="653661" cy="1512612"/>
        </a:xfrm>
      </xdr:grpSpPr>
      <xdr:cxnSp macro="">
        <xdr:nvCxnSpPr>
          <xdr:cNvPr id="3" name="Gewinkelte Verbindung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19050</xdr:rowOff>
        </xdr:from>
        <xdr:to>
          <xdr:col>8</xdr:col>
          <xdr:colOff>1028700</xdr:colOff>
          <xdr:row>43</xdr:row>
          <xdr:rowOff>123825</xdr:rowOff>
        </xdr:to>
        <xdr:sp macro="" textlink="">
          <xdr:nvSpPr>
            <xdr:cNvPr id="27649" name="Scroll Bar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3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19050</xdr:rowOff>
        </xdr:from>
        <xdr:to>
          <xdr:col>8</xdr:col>
          <xdr:colOff>1028700</xdr:colOff>
          <xdr:row>45</xdr:row>
          <xdr:rowOff>123825</xdr:rowOff>
        </xdr:to>
        <xdr:sp macro="" textlink="">
          <xdr:nvSpPr>
            <xdr:cNvPr id="27650" name="Scroll Bar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3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7651" name="Scroll Bar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3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19050</xdr:rowOff>
        </xdr:from>
        <xdr:to>
          <xdr:col>8</xdr:col>
          <xdr:colOff>1028700</xdr:colOff>
          <xdr:row>46</xdr:row>
          <xdr:rowOff>123825</xdr:rowOff>
        </xdr:to>
        <xdr:sp macro="" textlink="">
          <xdr:nvSpPr>
            <xdr:cNvPr id="27652" name="Scroll Bar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3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19050</xdr:rowOff>
        </xdr:from>
        <xdr:to>
          <xdr:col>8</xdr:col>
          <xdr:colOff>1028700</xdr:colOff>
          <xdr:row>48</xdr:row>
          <xdr:rowOff>123825</xdr:rowOff>
        </xdr:to>
        <xdr:sp macro="" textlink="">
          <xdr:nvSpPr>
            <xdr:cNvPr id="27653" name="Scroll Bar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3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19050</xdr:rowOff>
        </xdr:from>
        <xdr:to>
          <xdr:col>8</xdr:col>
          <xdr:colOff>1028700</xdr:colOff>
          <xdr:row>49</xdr:row>
          <xdr:rowOff>123825</xdr:rowOff>
        </xdr:to>
        <xdr:sp macro="" textlink="">
          <xdr:nvSpPr>
            <xdr:cNvPr id="27654" name="Scroll Bar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3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19050</xdr:rowOff>
        </xdr:from>
        <xdr:to>
          <xdr:col>8</xdr:col>
          <xdr:colOff>1028700</xdr:colOff>
          <xdr:row>50</xdr:row>
          <xdr:rowOff>123825</xdr:rowOff>
        </xdr:to>
        <xdr:sp macro="" textlink="">
          <xdr:nvSpPr>
            <xdr:cNvPr id="27655" name="Scroll Bar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3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19050</xdr:rowOff>
        </xdr:from>
        <xdr:to>
          <xdr:col>8</xdr:col>
          <xdr:colOff>1028700</xdr:colOff>
          <xdr:row>51</xdr:row>
          <xdr:rowOff>123825</xdr:rowOff>
        </xdr:to>
        <xdr:sp macro="" textlink="">
          <xdr:nvSpPr>
            <xdr:cNvPr id="27656" name="Scroll Bar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3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16565</xdr:colOff>
      <xdr:row>37</xdr:row>
      <xdr:rowOff>157371</xdr:rowOff>
    </xdr:from>
    <xdr:to>
      <xdr:col>8</xdr:col>
      <xdr:colOff>671090</xdr:colOff>
      <xdr:row>57</xdr:row>
      <xdr:rowOff>85398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4855265" y="4576971"/>
          <a:ext cx="2816700" cy="2395002"/>
          <a:chOff x="4483093" y="4962992"/>
          <a:chExt cx="3184956" cy="2771311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>
            <a:grpSpLocks/>
          </xdr:cNvGrpSpPr>
        </xdr:nvGrpSpPr>
        <xdr:grpSpPr bwMode="auto">
          <a:xfrm>
            <a:off x="4483093" y="5019101"/>
            <a:ext cx="1285378" cy="2715202"/>
            <a:chOff x="4881355" y="5635276"/>
            <a:chExt cx="697897" cy="2518643"/>
          </a:xfrm>
        </xdr:grpSpPr>
        <xdr:cxnSp macro="">
          <xdr:nvCxnSpPr>
            <xdr:cNvPr id="9" name="Gerade Verbindung 4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CxnSpPr/>
          </xdr:nvCxnSpPr>
          <xdr:spPr>
            <a:xfrm flipH="1">
              <a:off x="5576505" y="5635276"/>
              <a:ext cx="0" cy="2518643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mit Pfeil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5773368" y="5015480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 flipV="1">
            <a:off x="7658894" y="4962992"/>
            <a:ext cx="0" cy="5610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691030</xdr:colOff>
      <xdr:row>42</xdr:row>
      <xdr:rowOff>130342</xdr:rowOff>
    </xdr:from>
    <xdr:to>
      <xdr:col>8</xdr:col>
      <xdr:colOff>406065</xdr:colOff>
      <xdr:row>52</xdr:row>
      <xdr:rowOff>25067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6910855" y="5150017"/>
          <a:ext cx="496085" cy="1294900"/>
          <a:chOff x="6695577" y="4287706"/>
          <a:chExt cx="695851" cy="1592821"/>
        </a:xfrm>
      </xdr:grpSpPr>
      <xdr:cxnSp macro="">
        <xdr:nvCxnSpPr>
          <xdr:cNvPr id="12" name="Gerader Verbinder 13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7123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Gerader Verbinder 13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CxnSpPr/>
        </xdr:nvCxnSpPr>
        <xdr:spPr>
          <a:xfrm rot="5400000" flipH="1" flipV="1">
            <a:off x="7087633" y="5304065"/>
            <a:ext cx="444102" cy="163488"/>
          </a:xfrm>
          <a:prstGeom prst="bentConnector3">
            <a:avLst>
              <a:gd name="adj1" fmla="val 6379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 rot="16200000" flipV="1">
            <a:off x="6356891" y="4626392"/>
            <a:ext cx="833168" cy="155795"/>
          </a:xfrm>
          <a:prstGeom prst="bentConnector3">
            <a:avLst>
              <a:gd name="adj1" fmla="val 7352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 rot="5400000" flipH="1" flipV="1">
            <a:off x="6910099" y="4601470"/>
            <a:ext cx="787828" cy="165212"/>
          </a:xfrm>
          <a:prstGeom prst="bentConnector3">
            <a:avLst>
              <a:gd name="adj1" fmla="val 7255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CxnSpPr/>
        </xdr:nvCxnSpPr>
        <xdr:spPr>
          <a:xfrm rot="5400000">
            <a:off x="6637539" y="5663622"/>
            <a:ext cx="291944" cy="141866"/>
          </a:xfrm>
          <a:prstGeom prst="bentConnector3">
            <a:avLst>
              <a:gd name="adj1" fmla="val 328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 rot="16200000" flipV="1">
            <a:off x="7104064" y="5592413"/>
            <a:ext cx="386752" cy="142063"/>
          </a:xfrm>
          <a:prstGeom prst="bentConnector3">
            <a:avLst>
              <a:gd name="adj1" fmla="val 4524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 rot="5400000">
            <a:off x="6688916" y="5140651"/>
            <a:ext cx="182230" cy="142682"/>
          </a:xfrm>
          <a:prstGeom prst="bentConnector3">
            <a:avLst>
              <a:gd name="adj1" fmla="val -42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 rot="16200000" flipV="1">
            <a:off x="7133143" y="5037603"/>
            <a:ext cx="346384" cy="169855"/>
          </a:xfrm>
          <a:prstGeom prst="bentConnector3">
            <a:avLst>
              <a:gd name="adj1" fmla="val 5353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31</xdr:row>
      <xdr:rowOff>149087</xdr:rowOff>
    </xdr:from>
    <xdr:to>
      <xdr:col>8</xdr:col>
      <xdr:colOff>778565</xdr:colOff>
      <xdr:row>48</xdr:row>
      <xdr:rowOff>98534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4445690" y="3768587"/>
          <a:ext cx="3343275" cy="2083047"/>
          <a:chOff x="5299436" y="3930263"/>
          <a:chExt cx="2062561" cy="2073830"/>
        </a:xfrm>
      </xdr:grpSpPr>
      <xdr:cxnSp macro="">
        <xdr:nvCxnSpPr>
          <xdr:cNvPr id="15" name="Gerade Verbindung 2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/>
        </xdr:nvCxnSpPr>
        <xdr:spPr bwMode="auto">
          <a:xfrm>
            <a:off x="7361997" y="3930263"/>
            <a:ext cx="0" cy="10989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Gerade Verbindung 3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 bwMode="auto">
          <a:xfrm flipH="1">
            <a:off x="6046304" y="4047089"/>
            <a:ext cx="1313788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Gerade Verbindung 4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CxnSpPr/>
        </xdr:nvCxnSpPr>
        <xdr:spPr bwMode="auto">
          <a:xfrm>
            <a:off x="6049204" y="4047089"/>
            <a:ext cx="0" cy="19536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Gerade Verbindung mit Pfeil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 bwMode="auto">
          <a:xfrm flipH="1">
            <a:off x="5299436" y="6000750"/>
            <a:ext cx="746868" cy="3343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3</xdr:col>
      <xdr:colOff>625669</xdr:colOff>
      <xdr:row>50</xdr:row>
      <xdr:rowOff>20376</xdr:rowOff>
    </xdr:from>
    <xdr:to>
      <xdr:col>4</xdr:col>
      <xdr:colOff>123540</xdr:colOff>
      <xdr:row>51</xdr:row>
      <xdr:rowOff>8463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3445069" y="5983026"/>
          <a:ext cx="130248" cy="1500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19050</xdr:rowOff>
        </xdr:from>
        <xdr:to>
          <xdr:col>8</xdr:col>
          <xdr:colOff>1028700</xdr:colOff>
          <xdr:row>39</xdr:row>
          <xdr:rowOff>123825</xdr:rowOff>
        </xdr:to>
        <xdr:sp macro="" textlink="">
          <xdr:nvSpPr>
            <xdr:cNvPr id="31749" name="Scroll Bar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4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19050</xdr:rowOff>
        </xdr:from>
        <xdr:to>
          <xdr:col>8</xdr:col>
          <xdr:colOff>1028700</xdr:colOff>
          <xdr:row>40</xdr:row>
          <xdr:rowOff>123825</xdr:rowOff>
        </xdr:to>
        <xdr:sp macro="" textlink="">
          <xdr:nvSpPr>
            <xdr:cNvPr id="31750" name="Scroll Bar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4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19050</xdr:rowOff>
        </xdr:from>
        <xdr:to>
          <xdr:col>8</xdr:col>
          <xdr:colOff>1028700</xdr:colOff>
          <xdr:row>41</xdr:row>
          <xdr:rowOff>123825</xdr:rowOff>
        </xdr:to>
        <xdr:sp macro="" textlink="">
          <xdr:nvSpPr>
            <xdr:cNvPr id="31751" name="Scroll Bar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4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1028700</xdr:colOff>
          <xdr:row>42</xdr:row>
          <xdr:rowOff>123825</xdr:rowOff>
        </xdr:to>
        <xdr:sp macro="" textlink="">
          <xdr:nvSpPr>
            <xdr:cNvPr id="31752" name="Scroll Bar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4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711264</xdr:colOff>
      <xdr:row>38</xdr:row>
      <xdr:rowOff>132522</xdr:rowOff>
    </xdr:from>
    <xdr:to>
      <xdr:col>8</xdr:col>
      <xdr:colOff>333210</xdr:colOff>
      <xdr:row>43</xdr:row>
      <xdr:rowOff>41413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740589" y="4494972"/>
          <a:ext cx="603021" cy="718516"/>
          <a:chOff x="6749286" y="4480514"/>
          <a:chExt cx="599294" cy="898940"/>
        </a:xfrm>
      </xdr:grpSpPr>
      <xdr:cxnSp macro="">
        <xdr:nvCxnSpPr>
          <xdr:cNvPr id="24" name="Gerader Verbinder 17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CxnSpPr/>
        </xdr:nvCxnSpPr>
        <xdr:spPr>
          <a:xfrm>
            <a:off x="7348580" y="4480514"/>
            <a:ext cx="0" cy="89894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Gerader Verbinder 17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CxnSpPr/>
        </xdr:nvCxnSpPr>
        <xdr:spPr>
          <a:xfrm>
            <a:off x="6749286" y="4480514"/>
            <a:ext cx="0" cy="89894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28575</xdr:rowOff>
        </xdr:from>
        <xdr:to>
          <xdr:col>8</xdr:col>
          <xdr:colOff>1009650</xdr:colOff>
          <xdr:row>34</xdr:row>
          <xdr:rowOff>133350</xdr:rowOff>
        </xdr:to>
        <xdr:sp macro="" textlink="">
          <xdr:nvSpPr>
            <xdr:cNvPr id="25601" name="Scroll Bar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28575</xdr:rowOff>
        </xdr:from>
        <xdr:to>
          <xdr:col>8</xdr:col>
          <xdr:colOff>1000125</xdr:colOff>
          <xdr:row>35</xdr:row>
          <xdr:rowOff>133350</xdr:rowOff>
        </xdr:to>
        <xdr:sp macro="" textlink="">
          <xdr:nvSpPr>
            <xdr:cNvPr id="25602" name="Scroll Bar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5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28575</xdr:rowOff>
        </xdr:from>
        <xdr:to>
          <xdr:col>8</xdr:col>
          <xdr:colOff>1000125</xdr:colOff>
          <xdr:row>36</xdr:row>
          <xdr:rowOff>133350</xdr:rowOff>
        </xdr:to>
        <xdr:sp macro="" textlink="">
          <xdr:nvSpPr>
            <xdr:cNvPr id="25603" name="Scroll Bar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5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28575</xdr:rowOff>
        </xdr:from>
        <xdr:to>
          <xdr:col>8</xdr:col>
          <xdr:colOff>1000125</xdr:colOff>
          <xdr:row>37</xdr:row>
          <xdr:rowOff>133350</xdr:rowOff>
        </xdr:to>
        <xdr:sp macro="" textlink="">
          <xdr:nvSpPr>
            <xdr:cNvPr id="25604" name="Scroll Bar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5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28575</xdr:rowOff>
        </xdr:from>
        <xdr:to>
          <xdr:col>8</xdr:col>
          <xdr:colOff>1000125</xdr:colOff>
          <xdr:row>41</xdr:row>
          <xdr:rowOff>133350</xdr:rowOff>
        </xdr:to>
        <xdr:sp macro="" textlink="">
          <xdr:nvSpPr>
            <xdr:cNvPr id="25605" name="Scroll Bar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5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28575</xdr:rowOff>
        </xdr:from>
        <xdr:to>
          <xdr:col>8</xdr:col>
          <xdr:colOff>1000125</xdr:colOff>
          <xdr:row>40</xdr:row>
          <xdr:rowOff>133350</xdr:rowOff>
        </xdr:to>
        <xdr:sp macro="" textlink="">
          <xdr:nvSpPr>
            <xdr:cNvPr id="25606" name="Scroll Bar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5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38100</xdr:rowOff>
        </xdr:from>
        <xdr:to>
          <xdr:col>8</xdr:col>
          <xdr:colOff>1009650</xdr:colOff>
          <xdr:row>39</xdr:row>
          <xdr:rowOff>142875</xdr:rowOff>
        </xdr:to>
        <xdr:sp macro="" textlink="">
          <xdr:nvSpPr>
            <xdr:cNvPr id="25607" name="Scroll Bar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5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690747</xdr:colOff>
      <xdr:row>33</xdr:row>
      <xdr:rowOff>148400</xdr:rowOff>
    </xdr:from>
    <xdr:to>
      <xdr:col>8</xdr:col>
      <xdr:colOff>314645</xdr:colOff>
      <xdr:row>42</xdr:row>
      <xdr:rowOff>9509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pSpPr/>
      </xdr:nvGrpSpPr>
      <xdr:grpSpPr>
        <a:xfrm>
          <a:off x="6720072" y="4253675"/>
          <a:ext cx="604973" cy="1204134"/>
          <a:chOff x="7174232" y="4198454"/>
          <a:chExt cx="674369" cy="1309717"/>
        </a:xfrm>
      </xdr:grpSpPr>
      <xdr:cxnSp macro="">
        <xdr:nvCxnSpPr>
          <xdr:cNvPr id="4" name="Verbinder: gewinkelt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>
          <a:xfrm rot="16200000" flipV="1">
            <a:off x="6695993" y="4676693"/>
            <a:ext cx="1119217" cy="162740"/>
          </a:xfrm>
          <a:prstGeom prst="bentConnector3">
            <a:avLst>
              <a:gd name="adj1" fmla="val 8241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Verbinder: gewinkelt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 rot="5400000" flipH="1" flipV="1">
            <a:off x="7218840" y="4697078"/>
            <a:ext cx="1114284" cy="137790"/>
          </a:xfrm>
          <a:prstGeom prst="bentConnector3">
            <a:avLst>
              <a:gd name="adj1" fmla="val 8298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Verbinder: gewinkelt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rot="5400000" flipH="1" flipV="1">
            <a:off x="7168402" y="5323924"/>
            <a:ext cx="196590" cy="140545"/>
          </a:xfrm>
          <a:prstGeom prst="bentConnector3">
            <a:avLst>
              <a:gd name="adj1" fmla="val 8117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Verbinder: gewinkelt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 rot="16200000" flipV="1">
            <a:off x="7679874" y="5339444"/>
            <a:ext cx="195943" cy="141511"/>
          </a:xfrm>
          <a:prstGeom prst="bentConnector3">
            <a:avLst>
              <a:gd name="adj1" fmla="val 9062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11906</xdr:colOff>
      <xdr:row>29</xdr:row>
      <xdr:rowOff>0</xdr:rowOff>
    </xdr:from>
    <xdr:to>
      <xdr:col>8</xdr:col>
      <xdr:colOff>750094</xdr:colOff>
      <xdr:row>47</xdr:row>
      <xdr:rowOff>73487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441031" y="3505200"/>
          <a:ext cx="3319463" cy="2616662"/>
          <a:chOff x="5299436" y="3930263"/>
          <a:chExt cx="2062561" cy="2073830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 bwMode="auto">
          <a:xfrm>
            <a:off x="7361997" y="3930263"/>
            <a:ext cx="0" cy="7743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 Verbindung 3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 bwMode="auto">
          <a:xfrm flipH="1">
            <a:off x="6046303" y="4002177"/>
            <a:ext cx="1313788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Gerade Verbindung 4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 bwMode="auto">
          <a:xfrm>
            <a:off x="6049204" y="4000290"/>
            <a:ext cx="0" cy="200046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CxnSpPr/>
        </xdr:nvCxnSpPr>
        <xdr:spPr bwMode="auto">
          <a:xfrm flipH="1">
            <a:off x="5299436" y="6000750"/>
            <a:ext cx="746868" cy="3343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26625" name="Scroll Bar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6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26626" name="Scroll Bar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6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6627" name="Scroll Bar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6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26628" name="Scroll Bar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6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26629" name="Scroll Bar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6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28575</xdr:rowOff>
        </xdr:from>
        <xdr:to>
          <xdr:col>8</xdr:col>
          <xdr:colOff>1028700</xdr:colOff>
          <xdr:row>49</xdr:row>
          <xdr:rowOff>133350</xdr:rowOff>
        </xdr:to>
        <xdr:sp macro="" textlink="">
          <xdr:nvSpPr>
            <xdr:cNvPr id="26630" name="Scroll Bar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6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28575</xdr:rowOff>
        </xdr:from>
        <xdr:to>
          <xdr:col>8</xdr:col>
          <xdr:colOff>1028700</xdr:colOff>
          <xdr:row>50</xdr:row>
          <xdr:rowOff>133350</xdr:rowOff>
        </xdr:to>
        <xdr:sp macro="" textlink="">
          <xdr:nvSpPr>
            <xdr:cNvPr id="26631" name="Scroll Bar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6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25400</xdr:colOff>
      <xdr:row>37</xdr:row>
      <xdr:rowOff>5442</xdr:rowOff>
    </xdr:from>
    <xdr:to>
      <xdr:col>8</xdr:col>
      <xdr:colOff>732234</xdr:colOff>
      <xdr:row>56</xdr:row>
      <xdr:rowOff>92869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4521200" y="4806042"/>
          <a:ext cx="3278584" cy="2792527"/>
          <a:chOff x="4483093" y="4002881"/>
          <a:chExt cx="3178182" cy="2861470"/>
        </a:xfrm>
      </xdr:grpSpPr>
      <xdr:grpSp>
        <xdr:nvGrpSpPr>
          <xdr:cNvPr id="11" name="Gruppieren 1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>
            <a:grpSpLocks/>
          </xdr:cNvGrpSpPr>
        </xdr:nvGrpSpPr>
        <xdr:grpSpPr bwMode="auto">
          <a:xfrm>
            <a:off x="4483093" y="4098130"/>
            <a:ext cx="1285378" cy="2766221"/>
            <a:chOff x="4881355" y="4780977"/>
            <a:chExt cx="697897" cy="2565969"/>
          </a:xfrm>
        </xdr:grpSpPr>
        <xdr:cxnSp macro="">
          <xdr:nvCxnSpPr>
            <xdr:cNvPr id="14" name="Gerade Verbindung 4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/>
          </xdr:nvCxnSpPr>
          <xdr:spPr>
            <a:xfrm>
              <a:off x="5577799" y="4780977"/>
              <a:ext cx="1392" cy="2561474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 Verbindung mit Pfeil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>
            <a:off x="5766594" y="41060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 flipH="1" flipV="1">
            <a:off x="7658894" y="40028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26632" name="Scroll Bar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6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671763</xdr:colOff>
      <xdr:row>42</xdr:row>
      <xdr:rowOff>5015</xdr:rowOff>
    </xdr:from>
    <xdr:to>
      <xdr:col>8</xdr:col>
      <xdr:colOff>375990</xdr:colOff>
      <xdr:row>51</xdr:row>
      <xdr:rowOff>20054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758238" y="5567615"/>
          <a:ext cx="685302" cy="1367589"/>
          <a:chOff x="6700114" y="5604570"/>
          <a:chExt cx="684348" cy="1378654"/>
        </a:xfrm>
      </xdr:grpSpPr>
      <xdr:cxnSp macro="">
        <xdr:nvCxnSpPr>
          <xdr:cNvPr id="5" name="Gerader Verbinder 1052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 rot="5400000" flipH="1" flipV="1">
            <a:off x="7126011" y="6565348"/>
            <a:ext cx="332325" cy="105147"/>
          </a:xfrm>
          <a:prstGeom prst="bentConnector3">
            <a:avLst>
              <a:gd name="adj1" fmla="val 4077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26648" name="Gruppieren 26647">
            <a:extLst>
              <a:ext uri="{FF2B5EF4-FFF2-40B4-BE49-F238E27FC236}">
                <a16:creationId xmlns:a16="http://schemas.microsoft.com/office/drawing/2014/main" id="{00000000-0008-0000-0600-000018680000}"/>
              </a:ext>
            </a:extLst>
          </xdr:cNvPr>
          <xdr:cNvGrpSpPr/>
        </xdr:nvGrpSpPr>
        <xdr:grpSpPr>
          <a:xfrm>
            <a:off x="6700114" y="5604570"/>
            <a:ext cx="684348" cy="1378654"/>
            <a:chOff x="7125528" y="5559521"/>
            <a:chExt cx="754648" cy="1367742"/>
          </a:xfrm>
        </xdr:grpSpPr>
        <xdr:cxnSp macro="">
          <xdr:nvCxnSpPr>
            <xdr:cNvPr id="8" name="Gerader Verbinder 1052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CxnSpPr/>
          </xdr:nvCxnSpPr>
          <xdr:spPr>
            <a:xfrm rot="16200000" flipV="1">
              <a:off x="6876521" y="5808528"/>
              <a:ext cx="683657" cy="185643"/>
            </a:xfrm>
            <a:prstGeom prst="bentConnector3">
              <a:avLst>
                <a:gd name="adj1" fmla="val 75934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Gerader Verbinder 1052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CxnSpPr/>
          </xdr:nvCxnSpPr>
          <xdr:spPr>
            <a:xfrm rot="5400000" flipH="1" flipV="1">
              <a:off x="7475983" y="5782518"/>
              <a:ext cx="627189" cy="181196"/>
            </a:xfrm>
            <a:prstGeom prst="bentConnector3">
              <a:avLst>
                <a:gd name="adj1" fmla="val 74230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4" name="Gerader Verbinder 1052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CxnSpPr/>
          </xdr:nvCxnSpPr>
          <xdr:spPr>
            <a:xfrm rot="16200000" flipV="1">
              <a:off x="7083075" y="6501957"/>
              <a:ext cx="319973" cy="116062"/>
            </a:xfrm>
            <a:prstGeom prst="bentConnector3">
              <a:avLst>
                <a:gd name="adj1" fmla="val 39745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" name="Gerader Verbinder 1052">
              <a:extLst>
                <a:ext uri="{FF2B5EF4-FFF2-40B4-BE49-F238E27FC236}">
                  <a16:creationId xmlns:a16="http://schemas.microsoft.com/office/drawing/2014/main" id="{00000000-0008-0000-0600-00001B000000}"/>
                </a:ext>
              </a:extLst>
            </xdr:cNvPr>
            <xdr:cNvCxnSpPr/>
          </xdr:nvCxnSpPr>
          <xdr:spPr>
            <a:xfrm rot="5400000">
              <a:off x="6982149" y="6228661"/>
              <a:ext cx="532715" cy="125331"/>
            </a:xfrm>
            <a:prstGeom prst="bentConnector3">
              <a:avLst>
                <a:gd name="adj1" fmla="val 41429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" name="Gerader Verbinder 1052">
              <a:extLst>
                <a:ext uri="{FF2B5EF4-FFF2-40B4-BE49-F238E27FC236}">
                  <a16:creationId xmlns:a16="http://schemas.microsoft.com/office/drawing/2014/main" id="{00000000-0008-0000-0600-00001C000000}"/>
                </a:ext>
              </a:extLst>
            </xdr:cNvPr>
            <xdr:cNvCxnSpPr/>
          </xdr:nvCxnSpPr>
          <xdr:spPr>
            <a:xfrm rot="16200000" flipV="1">
              <a:off x="7491115" y="6202751"/>
              <a:ext cx="551087" cy="135358"/>
            </a:xfrm>
            <a:prstGeom prst="bentConnector3">
              <a:avLst>
                <a:gd name="adj1" fmla="val 54601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6624" name="Gerader Verbinder 1052">
              <a:extLst>
                <a:ext uri="{FF2B5EF4-FFF2-40B4-BE49-F238E27FC236}">
                  <a16:creationId xmlns:a16="http://schemas.microsoft.com/office/drawing/2014/main" id="{00000000-0008-0000-0600-000000680000}"/>
                </a:ext>
              </a:extLst>
            </xdr:cNvPr>
            <xdr:cNvCxnSpPr/>
          </xdr:nvCxnSpPr>
          <xdr:spPr>
            <a:xfrm rot="5400000">
              <a:off x="7099637" y="6720692"/>
              <a:ext cx="287994" cy="115026"/>
            </a:xfrm>
            <a:prstGeom prst="bentConnector3">
              <a:avLst>
                <a:gd name="adj1" fmla="val 41205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6639" name="Gerader Verbinder 1052">
              <a:extLst>
                <a:ext uri="{FF2B5EF4-FFF2-40B4-BE49-F238E27FC236}">
                  <a16:creationId xmlns:a16="http://schemas.microsoft.com/office/drawing/2014/main" id="{00000000-0008-0000-0600-00000F680000}"/>
                </a:ext>
              </a:extLst>
            </xdr:cNvPr>
            <xdr:cNvCxnSpPr/>
          </xdr:nvCxnSpPr>
          <xdr:spPr>
            <a:xfrm rot="16200000" flipH="1">
              <a:off x="7633897" y="6725055"/>
              <a:ext cx="288745" cy="115671"/>
            </a:xfrm>
            <a:prstGeom prst="bentConnector3">
              <a:avLst>
                <a:gd name="adj1" fmla="val 39474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51287</xdr:colOff>
      <xdr:row>35</xdr:row>
      <xdr:rowOff>89298</xdr:rowOff>
    </xdr:from>
    <xdr:to>
      <xdr:col>8</xdr:col>
      <xdr:colOff>720586</xdr:colOff>
      <xdr:row>53</xdr:row>
      <xdr:rowOff>78691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476330" y="5025969"/>
          <a:ext cx="3254656" cy="2465893"/>
          <a:chOff x="5232477" y="5653854"/>
          <a:chExt cx="2044344" cy="2430966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 bwMode="auto">
          <a:xfrm>
            <a:off x="7270332" y="5663379"/>
            <a:ext cx="0" cy="12452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/>
        </xdr:nvCxnSpPr>
        <xdr:spPr bwMode="auto">
          <a:xfrm flipH="1">
            <a:off x="6051093" y="5787901"/>
            <a:ext cx="1227633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 bwMode="auto">
          <a:xfrm>
            <a:off x="6051093" y="5787901"/>
            <a:ext cx="0" cy="22988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/>
        </xdr:nvCxnSpPr>
        <xdr:spPr bwMode="auto">
          <a:xfrm flipH="1">
            <a:off x="5222488" y="8084820"/>
            <a:ext cx="82860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19050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32769" name="Scroll Bar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7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2770" name="Scroll Bar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7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1019175</xdr:colOff>
          <xdr:row>43</xdr:row>
          <xdr:rowOff>142875</xdr:rowOff>
        </xdr:to>
        <xdr:sp macro="" textlink="">
          <xdr:nvSpPr>
            <xdr:cNvPr id="32771" name="Scroll Bar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7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1019175</xdr:colOff>
          <xdr:row>44</xdr:row>
          <xdr:rowOff>142875</xdr:rowOff>
        </xdr:to>
        <xdr:sp macro="" textlink="">
          <xdr:nvSpPr>
            <xdr:cNvPr id="32772" name="Scroll Bar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7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1019175</xdr:colOff>
          <xdr:row>46</xdr:row>
          <xdr:rowOff>142875</xdr:rowOff>
        </xdr:to>
        <xdr:sp macro="" textlink="">
          <xdr:nvSpPr>
            <xdr:cNvPr id="32773" name="Scroll Bar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7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1019175</xdr:colOff>
          <xdr:row>47</xdr:row>
          <xdr:rowOff>142875</xdr:rowOff>
        </xdr:to>
        <xdr:sp macro="" textlink="">
          <xdr:nvSpPr>
            <xdr:cNvPr id="32774" name="Scroll Bar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7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693418</xdr:colOff>
      <xdr:row>40</xdr:row>
      <xdr:rowOff>131885</xdr:rowOff>
    </xdr:from>
    <xdr:to>
      <xdr:col>8</xdr:col>
      <xdr:colOff>367813</xdr:colOff>
      <xdr:row>48</xdr:row>
      <xdr:rowOff>29514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6724104" y="5797899"/>
          <a:ext cx="654109" cy="1100501"/>
          <a:chOff x="6695580" y="4287704"/>
          <a:chExt cx="693829" cy="1309005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661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520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 rot="16200000" flipV="1">
            <a:off x="6394761" y="4588523"/>
            <a:ext cx="756373" cy="154736"/>
          </a:xfrm>
          <a:prstGeom prst="bentConnector3">
            <a:avLst>
              <a:gd name="adj1" fmla="val 713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 rot="5400000" flipH="1" flipV="1">
            <a:off x="6882449" y="4628055"/>
            <a:ext cx="842064" cy="166277"/>
          </a:xfrm>
          <a:prstGeom prst="bentConnector3">
            <a:avLst>
              <a:gd name="adj1" fmla="val 747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344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4320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31037</xdr:colOff>
      <xdr:row>35</xdr:row>
      <xdr:rowOff>145381</xdr:rowOff>
    </xdr:from>
    <xdr:to>
      <xdr:col>8</xdr:col>
      <xdr:colOff>712369</xdr:colOff>
      <xdr:row>52</xdr:row>
      <xdr:rowOff>95638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4460162" y="4688806"/>
          <a:ext cx="3262607" cy="2331507"/>
          <a:chOff x="5213985" y="5844606"/>
          <a:chExt cx="2055101" cy="2440239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 bwMode="auto">
          <a:xfrm>
            <a:off x="7268035" y="5844606"/>
            <a:ext cx="0" cy="5648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CxnSpPr/>
        </xdr:nvCxnSpPr>
        <xdr:spPr bwMode="auto">
          <a:xfrm flipH="1">
            <a:off x="6045914" y="5904756"/>
            <a:ext cx="122317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 bwMode="auto">
          <a:xfrm>
            <a:off x="6043815" y="5897467"/>
            <a:ext cx="0" cy="238737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 bwMode="auto">
          <a:xfrm flipH="1">
            <a:off x="5213985" y="8284845"/>
            <a:ext cx="828608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19050</xdr:rowOff>
        </xdr:from>
        <xdr:to>
          <xdr:col>8</xdr:col>
          <xdr:colOff>1057275</xdr:colOff>
          <xdr:row>41</xdr:row>
          <xdr:rowOff>123825</xdr:rowOff>
        </xdr:to>
        <xdr:sp macro="" textlink="">
          <xdr:nvSpPr>
            <xdr:cNvPr id="33793" name="Scroll Bar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8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19050</xdr:rowOff>
        </xdr:from>
        <xdr:to>
          <xdr:col>8</xdr:col>
          <xdr:colOff>1057275</xdr:colOff>
          <xdr:row>42</xdr:row>
          <xdr:rowOff>133350</xdr:rowOff>
        </xdr:to>
        <xdr:sp macro="" textlink="">
          <xdr:nvSpPr>
            <xdr:cNvPr id="33794" name="Scroll Bar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8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1057275</xdr:colOff>
          <xdr:row>43</xdr:row>
          <xdr:rowOff>142875</xdr:rowOff>
        </xdr:to>
        <xdr:sp macro="" textlink="">
          <xdr:nvSpPr>
            <xdr:cNvPr id="33795" name="Scroll Bar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8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1057275</xdr:colOff>
          <xdr:row>44</xdr:row>
          <xdr:rowOff>133350</xdr:rowOff>
        </xdr:to>
        <xdr:sp macro="" textlink="">
          <xdr:nvSpPr>
            <xdr:cNvPr id="33796" name="Scroll Bar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8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1047750</xdr:colOff>
          <xdr:row>46</xdr:row>
          <xdr:rowOff>142875</xdr:rowOff>
        </xdr:to>
        <xdr:sp macro="" textlink="">
          <xdr:nvSpPr>
            <xdr:cNvPr id="33801" name="Scroll Bar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8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1047750</xdr:colOff>
          <xdr:row>47</xdr:row>
          <xdr:rowOff>142875</xdr:rowOff>
        </xdr:to>
        <xdr:sp macro="" textlink="">
          <xdr:nvSpPr>
            <xdr:cNvPr id="33802" name="Scroll Bar 10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00000000-0008-0000-0800-00000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719494</xdr:colOff>
      <xdr:row>40</xdr:row>
      <xdr:rowOff>134744</xdr:rowOff>
    </xdr:from>
    <xdr:to>
      <xdr:col>8</xdr:col>
      <xdr:colOff>393893</xdr:colOff>
      <xdr:row>48</xdr:row>
      <xdr:rowOff>41817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pSpPr/>
      </xdr:nvGrpSpPr>
      <xdr:grpSpPr>
        <a:xfrm>
          <a:off x="6748819" y="5325869"/>
          <a:ext cx="655474" cy="1097698"/>
          <a:chOff x="6695576" y="4287706"/>
          <a:chExt cx="693833" cy="1309003"/>
        </a:xfrm>
      </xdr:grpSpPr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876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782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CxnSpPr/>
        </xdr:nvCxnSpPr>
        <xdr:spPr>
          <a:xfrm rot="16200000" flipV="1">
            <a:off x="6342155" y="4641127"/>
            <a:ext cx="859384" cy="152541"/>
          </a:xfrm>
          <a:prstGeom prst="bentConnector3">
            <a:avLst>
              <a:gd name="adj1" fmla="val 7447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Verbinder: gewinkelt 22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CxnSpPr/>
        </xdr:nvCxnSpPr>
        <xdr:spPr>
          <a:xfrm rot="5400000" flipH="1" flipV="1">
            <a:off x="6882449" y="4628055"/>
            <a:ext cx="842064" cy="166277"/>
          </a:xfrm>
          <a:prstGeom prst="bentConnector3">
            <a:avLst>
              <a:gd name="adj1" fmla="val 7448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13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487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13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24848</xdr:colOff>
      <xdr:row>36</xdr:row>
      <xdr:rowOff>147484</xdr:rowOff>
    </xdr:from>
    <xdr:to>
      <xdr:col>8</xdr:col>
      <xdr:colOff>731984</xdr:colOff>
      <xdr:row>54</xdr:row>
      <xdr:rowOff>58615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4453973" y="4767109"/>
          <a:ext cx="3288411" cy="2225706"/>
          <a:chOff x="5265420" y="5846432"/>
          <a:chExt cx="2011680" cy="2314588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 bwMode="auto">
          <a:xfrm>
            <a:off x="7277100" y="5846432"/>
            <a:ext cx="0" cy="3992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/>
        </xdr:nvCxnSpPr>
        <xdr:spPr bwMode="auto">
          <a:xfrm flipH="1">
            <a:off x="6067425" y="5895869"/>
            <a:ext cx="120777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CxnSpPr/>
        </xdr:nvCxnSpPr>
        <xdr:spPr bwMode="auto">
          <a:xfrm>
            <a:off x="6066378" y="5895869"/>
            <a:ext cx="0" cy="226515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/>
        </xdr:nvCxnSpPr>
        <xdr:spPr bwMode="auto">
          <a:xfrm flipH="1">
            <a:off x="5265420" y="8161020"/>
            <a:ext cx="80962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19050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4833" name="Scroll Bar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9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19050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4834" name="Scroll Bar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9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1009650</xdr:colOff>
          <xdr:row>44</xdr:row>
          <xdr:rowOff>142875</xdr:rowOff>
        </xdr:to>
        <xdr:sp macro="" textlink="">
          <xdr:nvSpPr>
            <xdr:cNvPr id="34835" name="Scroll Bar 19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9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1009650</xdr:colOff>
          <xdr:row>45</xdr:row>
          <xdr:rowOff>152400</xdr:rowOff>
        </xdr:to>
        <xdr:sp macro="" textlink="">
          <xdr:nvSpPr>
            <xdr:cNvPr id="34836" name="Scroll Bar 20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9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1019175</xdr:colOff>
          <xdr:row>47</xdr:row>
          <xdr:rowOff>142875</xdr:rowOff>
        </xdr:to>
        <xdr:sp macro="" textlink="">
          <xdr:nvSpPr>
            <xdr:cNvPr id="34837" name="Scroll Bar 21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9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1019175</xdr:colOff>
          <xdr:row>48</xdr:row>
          <xdr:rowOff>142875</xdr:rowOff>
        </xdr:to>
        <xdr:sp macro="" textlink="">
          <xdr:nvSpPr>
            <xdr:cNvPr id="34838" name="Scroll Bar 22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9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689729</xdr:colOff>
      <xdr:row>41</xdr:row>
      <xdr:rowOff>129152</xdr:rowOff>
    </xdr:from>
    <xdr:to>
      <xdr:col>8</xdr:col>
      <xdr:colOff>364128</xdr:colOff>
      <xdr:row>49</xdr:row>
      <xdr:rowOff>25831</xdr:rowOff>
    </xdr:to>
    <xdr:grpSp>
      <xdr:nvGrpSpPr>
        <xdr:cNvPr id="34845" name="Gruppieren 34844">
          <a:extLst>
            <a:ext uri="{FF2B5EF4-FFF2-40B4-BE49-F238E27FC236}">
              <a16:creationId xmlns:a16="http://schemas.microsoft.com/office/drawing/2014/main" id="{00000000-0008-0000-0900-00001D880000}"/>
            </a:ext>
          </a:extLst>
        </xdr:cNvPr>
        <xdr:cNvGrpSpPr/>
      </xdr:nvGrpSpPr>
      <xdr:grpSpPr>
        <a:xfrm>
          <a:off x="6719054" y="5358377"/>
          <a:ext cx="655474" cy="1087304"/>
          <a:chOff x="6695576" y="4287706"/>
          <a:chExt cx="693833" cy="1309003"/>
        </a:xfrm>
      </xdr:grpSpPr>
      <xdr:cxnSp macro="">
        <xdr:nvCxnSpPr>
          <xdr:cNvPr id="34846" name="Gerader Verbinder 13">
            <a:extLst>
              <a:ext uri="{FF2B5EF4-FFF2-40B4-BE49-F238E27FC236}">
                <a16:creationId xmlns:a16="http://schemas.microsoft.com/office/drawing/2014/main" id="{00000000-0008-0000-0900-00001E88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674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47" name="Gerader Verbinder 13">
            <a:extLst>
              <a:ext uri="{FF2B5EF4-FFF2-40B4-BE49-F238E27FC236}">
                <a16:creationId xmlns:a16="http://schemas.microsoft.com/office/drawing/2014/main" id="{00000000-0008-0000-0900-00001F88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573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48" name="Verbinder: gewinkelt 34847">
            <a:extLst>
              <a:ext uri="{FF2B5EF4-FFF2-40B4-BE49-F238E27FC236}">
                <a16:creationId xmlns:a16="http://schemas.microsoft.com/office/drawing/2014/main" id="{00000000-0008-0000-0900-000020880000}"/>
              </a:ext>
            </a:extLst>
          </xdr:cNvPr>
          <xdr:cNvCxnSpPr/>
        </xdr:nvCxnSpPr>
        <xdr:spPr>
          <a:xfrm rot="16200000" flipV="1">
            <a:off x="6342155" y="4641127"/>
            <a:ext cx="859384" cy="152541"/>
          </a:xfrm>
          <a:prstGeom prst="bentConnector3">
            <a:avLst>
              <a:gd name="adj1" fmla="val 7280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49" name="Verbinder: gewinkelt 34848">
            <a:extLst>
              <a:ext uri="{FF2B5EF4-FFF2-40B4-BE49-F238E27FC236}">
                <a16:creationId xmlns:a16="http://schemas.microsoft.com/office/drawing/2014/main" id="{00000000-0008-0000-0900-000021880000}"/>
              </a:ext>
            </a:extLst>
          </xdr:cNvPr>
          <xdr:cNvCxnSpPr/>
        </xdr:nvCxnSpPr>
        <xdr:spPr>
          <a:xfrm rot="5400000" flipH="1" flipV="1">
            <a:off x="6882449" y="4628055"/>
            <a:ext cx="842064" cy="166277"/>
          </a:xfrm>
          <a:prstGeom prst="bentConnector3">
            <a:avLst>
              <a:gd name="adj1" fmla="val 7285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50" name="Gerader Verbinder 13">
            <a:extLst>
              <a:ext uri="{FF2B5EF4-FFF2-40B4-BE49-F238E27FC236}">
                <a16:creationId xmlns:a16="http://schemas.microsoft.com/office/drawing/2014/main" id="{00000000-0008-0000-0900-00002288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851" name="Gerader Verbinder 13">
            <a:extLst>
              <a:ext uri="{FF2B5EF4-FFF2-40B4-BE49-F238E27FC236}">
                <a16:creationId xmlns:a16="http://schemas.microsoft.com/office/drawing/2014/main" id="{00000000-0008-0000-0900-00002388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6"/>
  </sheetPr>
  <dimension ref="A1:K94"/>
  <sheetViews>
    <sheetView showGridLines="0" tabSelected="1" zoomScaleNormal="100" zoomScaleSheetLayoutView="85" workbookViewId="0">
      <selection activeCell="L40" sqref="L40"/>
    </sheetView>
  </sheetViews>
  <sheetFormatPr baseColWidth="10" defaultColWidth="11.5703125" defaultRowHeight="15" x14ac:dyDescent="0.25"/>
  <cols>
    <col min="1" max="1" width="1.5703125" style="7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9" customWidth="1"/>
    <col min="10" max="10" width="1.85546875" customWidth="1"/>
    <col min="12" max="16384" width="11.5703125" style="1"/>
  </cols>
  <sheetData>
    <row r="1" spans="1:11" ht="5.0999999999999996" customHeight="1" x14ac:dyDescent="0.2">
      <c r="I1" s="8"/>
      <c r="J1" s="9"/>
      <c r="K1" s="1"/>
    </row>
    <row r="2" spans="1:11" s="37" customFormat="1" ht="35.1" customHeight="1" x14ac:dyDescent="0.2">
      <c r="A2" s="107" t="s">
        <v>0</v>
      </c>
      <c r="B2" s="7"/>
      <c r="F2" s="38"/>
      <c r="G2" s="38"/>
      <c r="H2" s="644" t="s">
        <v>1</v>
      </c>
      <c r="I2" s="644"/>
      <c r="J2" s="43"/>
    </row>
    <row r="3" spans="1:11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2"/>
    </row>
    <row r="4" spans="1:11" s="10" customFormat="1" ht="6" customHeight="1" x14ac:dyDescent="0.25">
      <c r="J4" s="2"/>
    </row>
    <row r="5" spans="1:11" s="10" customFormat="1" ht="12.95" customHeight="1" x14ac:dyDescent="0.25">
      <c r="D5" s="144"/>
      <c r="H5" s="144" t="s">
        <v>2</v>
      </c>
      <c r="I5" s="145" t="s">
        <v>3</v>
      </c>
      <c r="J5" s="30"/>
    </row>
    <row r="6" spans="1:11" s="10" customFormat="1" ht="6" customHeight="1" x14ac:dyDescent="0.25">
      <c r="I6" s="67"/>
      <c r="J6" s="2"/>
    </row>
    <row r="7" spans="1:11" s="11" customFormat="1" ht="12.95" customHeight="1" x14ac:dyDescent="0.2">
      <c r="A7" s="643">
        <v>1</v>
      </c>
      <c r="B7" s="643"/>
      <c r="C7" s="76" t="s">
        <v>4</v>
      </c>
      <c r="D7" s="212"/>
      <c r="E7" s="77"/>
      <c r="F7" s="77"/>
      <c r="G7" s="77"/>
      <c r="H7" s="212">
        <f>I7/$I$38</f>
        <v>2.5000000000000001E-3</v>
      </c>
      <c r="I7" s="533">
        <v>10000</v>
      </c>
      <c r="J7" s="34"/>
    </row>
    <row r="8" spans="1:11" ht="6.95" customHeight="1" x14ac:dyDescent="0.2">
      <c r="A8" s="4"/>
      <c r="B8" s="6"/>
      <c r="D8" s="8"/>
      <c r="E8" s="68"/>
      <c r="F8" s="68"/>
      <c r="G8" s="68"/>
      <c r="H8" s="8"/>
      <c r="I8" s="534"/>
      <c r="J8" s="44"/>
      <c r="K8" s="1"/>
    </row>
    <row r="9" spans="1:11" s="11" customFormat="1" ht="12.95" customHeight="1" x14ac:dyDescent="0.2">
      <c r="A9" s="643">
        <v>2</v>
      </c>
      <c r="B9" s="643"/>
      <c r="C9" s="76" t="s">
        <v>5</v>
      </c>
      <c r="D9" s="212"/>
      <c r="E9" s="77"/>
      <c r="F9" s="77"/>
      <c r="G9" s="77"/>
      <c r="H9" s="212">
        <f>I9/$I$38</f>
        <v>0.36959999999999998</v>
      </c>
      <c r="I9" s="535">
        <v>1500000</v>
      </c>
      <c r="J9" s="34"/>
    </row>
    <row r="10" spans="1:11" ht="6.95" customHeight="1" x14ac:dyDescent="0.2">
      <c r="D10" s="8"/>
      <c r="E10" s="68"/>
      <c r="F10" s="68"/>
      <c r="G10" s="68"/>
      <c r="H10" s="8"/>
      <c r="I10" s="534"/>
      <c r="J10" s="34"/>
      <c r="K10" s="1"/>
    </row>
    <row r="11" spans="1:11" s="10" customFormat="1" ht="12.95" customHeight="1" x14ac:dyDescent="0.2">
      <c r="A11" s="643">
        <v>3</v>
      </c>
      <c r="B11" s="643"/>
      <c r="C11" s="76" t="s">
        <v>6</v>
      </c>
      <c r="D11" s="212"/>
      <c r="E11" s="77"/>
      <c r="F11" s="77"/>
      <c r="G11" s="77"/>
      <c r="H11" s="212">
        <f>I11/$I$38</f>
        <v>0.14910000000000001</v>
      </c>
      <c r="I11" s="536">
        <f>SUM(I12:I19)</f>
        <v>605000</v>
      </c>
      <c r="J11" s="34"/>
    </row>
    <row r="12" spans="1:11" ht="12.95" customHeight="1" x14ac:dyDescent="0.2">
      <c r="A12" s="78">
        <v>3</v>
      </c>
      <c r="B12" s="79" t="s">
        <v>7</v>
      </c>
      <c r="C12" s="80" t="s">
        <v>8</v>
      </c>
      <c r="D12" s="212"/>
      <c r="E12" s="81"/>
      <c r="F12" s="81"/>
      <c r="G12" s="81"/>
      <c r="H12" s="212"/>
      <c r="I12" s="537">
        <v>120000</v>
      </c>
      <c r="J12" s="34"/>
      <c r="K12" s="1"/>
    </row>
    <row r="13" spans="1:11" ht="12.95" customHeight="1" x14ac:dyDescent="0.2">
      <c r="A13" s="82">
        <v>3</v>
      </c>
      <c r="B13" s="83" t="s">
        <v>9</v>
      </c>
      <c r="C13" s="84" t="s">
        <v>10</v>
      </c>
      <c r="D13" s="212"/>
      <c r="E13" s="85"/>
      <c r="F13" s="85"/>
      <c r="G13" s="85"/>
      <c r="H13" s="212"/>
      <c r="I13" s="538">
        <v>130000</v>
      </c>
      <c r="J13" s="34"/>
      <c r="K13" s="1"/>
    </row>
    <row r="14" spans="1:11" ht="12.95" customHeight="1" x14ac:dyDescent="0.2">
      <c r="A14" s="82">
        <v>3</v>
      </c>
      <c r="B14" s="83" t="s">
        <v>11</v>
      </c>
      <c r="C14" s="84" t="s">
        <v>12</v>
      </c>
      <c r="D14" s="213"/>
      <c r="E14" s="85"/>
      <c r="F14" s="85"/>
      <c r="G14" s="85"/>
      <c r="H14" s="213"/>
      <c r="I14" s="539">
        <v>130000</v>
      </c>
      <c r="J14" s="34"/>
      <c r="K14" s="1"/>
    </row>
    <row r="15" spans="1:11" ht="12.95" customHeight="1" x14ac:dyDescent="0.2">
      <c r="A15" s="82">
        <v>3</v>
      </c>
      <c r="B15" s="83" t="s">
        <v>13</v>
      </c>
      <c r="C15" s="84" t="s">
        <v>14</v>
      </c>
      <c r="D15" s="213"/>
      <c r="E15" s="85"/>
      <c r="F15" s="85"/>
      <c r="G15" s="85"/>
      <c r="H15" s="213"/>
      <c r="I15" s="539">
        <v>140000</v>
      </c>
      <c r="J15" s="34"/>
      <c r="K15" s="1"/>
    </row>
    <row r="16" spans="1:11" ht="12.95" customHeight="1" x14ac:dyDescent="0.2">
      <c r="A16" s="82">
        <v>3</v>
      </c>
      <c r="B16" s="83" t="s">
        <v>15</v>
      </c>
      <c r="C16" s="84" t="s">
        <v>16</v>
      </c>
      <c r="D16" s="213"/>
      <c r="E16" s="85"/>
      <c r="F16" s="85"/>
      <c r="G16" s="85"/>
      <c r="H16" s="213"/>
      <c r="I16" s="539">
        <v>65000</v>
      </c>
      <c r="J16" s="34"/>
      <c r="K16" s="1"/>
    </row>
    <row r="17" spans="1:11" ht="12.95" customHeight="1" x14ac:dyDescent="0.2">
      <c r="A17" s="82">
        <v>3</v>
      </c>
      <c r="B17" s="83" t="s">
        <v>17</v>
      </c>
      <c r="C17" s="84" t="s">
        <v>18</v>
      </c>
      <c r="D17" s="213"/>
      <c r="E17" s="85"/>
      <c r="F17" s="85"/>
      <c r="G17" s="85"/>
      <c r="H17" s="213"/>
      <c r="I17" s="539">
        <v>20000</v>
      </c>
      <c r="J17" s="34"/>
      <c r="K17" s="1"/>
    </row>
    <row r="18" spans="1:11" ht="12.95" customHeight="1" x14ac:dyDescent="0.2">
      <c r="A18" s="82">
        <v>3</v>
      </c>
      <c r="B18" s="83" t="s">
        <v>19</v>
      </c>
      <c r="C18" s="84" t="s">
        <v>20</v>
      </c>
      <c r="D18" s="213"/>
      <c r="E18" s="85"/>
      <c r="F18" s="85"/>
      <c r="G18" s="85"/>
      <c r="H18" s="213"/>
      <c r="I18" s="539">
        <v>0</v>
      </c>
      <c r="J18" s="34"/>
      <c r="K18" s="1"/>
    </row>
    <row r="19" spans="1:11" ht="12.95" customHeight="1" x14ac:dyDescent="0.2">
      <c r="A19" s="82">
        <v>3</v>
      </c>
      <c r="B19" s="83" t="s">
        <v>21</v>
      </c>
      <c r="C19" s="84" t="s">
        <v>22</v>
      </c>
      <c r="D19" s="213"/>
      <c r="E19" s="85"/>
      <c r="F19" s="85"/>
      <c r="G19" s="85"/>
      <c r="H19" s="213"/>
      <c r="I19" s="539">
        <v>0</v>
      </c>
      <c r="J19" s="34"/>
      <c r="K19" s="1"/>
    </row>
    <row r="20" spans="1:11" ht="6.95" customHeight="1" x14ac:dyDescent="0.2">
      <c r="D20" s="8"/>
      <c r="E20" s="68"/>
      <c r="F20" s="68"/>
      <c r="G20" s="68"/>
      <c r="H20" s="8"/>
      <c r="I20" s="534"/>
      <c r="J20" s="158"/>
      <c r="K20" s="1"/>
    </row>
    <row r="21" spans="1:11" s="10" customFormat="1" ht="12.75" customHeight="1" x14ac:dyDescent="0.2">
      <c r="A21" s="643">
        <v>4</v>
      </c>
      <c r="B21" s="643"/>
      <c r="C21" s="76" t="s">
        <v>23</v>
      </c>
      <c r="D21" s="212"/>
      <c r="E21" s="77"/>
      <c r="F21" s="77"/>
      <c r="G21" s="77"/>
      <c r="H21" s="212">
        <f>I21/$I$38</f>
        <v>0.1971</v>
      </c>
      <c r="I21" s="535">
        <v>800000</v>
      </c>
      <c r="J21" s="34"/>
    </row>
    <row r="22" spans="1:11" ht="6.95" customHeight="1" x14ac:dyDescent="0.2">
      <c r="A22" s="4"/>
      <c r="B22" s="6"/>
      <c r="D22" s="8"/>
      <c r="E22" s="68"/>
      <c r="F22" s="68"/>
      <c r="G22" s="68"/>
      <c r="H22" s="8"/>
      <c r="I22" s="534"/>
      <c r="J22" s="33"/>
      <c r="K22" s="1"/>
    </row>
    <row r="23" spans="1:11" s="11" customFormat="1" ht="12.95" customHeight="1" x14ac:dyDescent="0.2">
      <c r="A23" s="643">
        <v>5</v>
      </c>
      <c r="B23" s="643"/>
      <c r="C23" s="76" t="s">
        <v>24</v>
      </c>
      <c r="D23" s="212"/>
      <c r="E23" s="77"/>
      <c r="F23" s="77"/>
      <c r="G23" s="77"/>
      <c r="H23" s="212">
        <f>I23/$I$38</f>
        <v>2.46E-2</v>
      </c>
      <c r="I23" s="536">
        <f>SUM(I24:I26)</f>
        <v>100000</v>
      </c>
      <c r="J23" s="34"/>
    </row>
    <row r="24" spans="1:11" ht="12.95" customHeight="1" x14ac:dyDescent="0.2">
      <c r="A24" s="82">
        <v>5</v>
      </c>
      <c r="B24" s="84" t="s">
        <v>7</v>
      </c>
      <c r="C24" s="84" t="s">
        <v>25</v>
      </c>
      <c r="D24" s="213"/>
      <c r="E24" s="85"/>
      <c r="F24" s="85"/>
      <c r="G24" s="85"/>
      <c r="H24" s="213"/>
      <c r="I24" s="538">
        <v>60000</v>
      </c>
      <c r="J24" s="34"/>
      <c r="K24" s="1"/>
    </row>
    <row r="25" spans="1:11" ht="12.95" customHeight="1" x14ac:dyDescent="0.2">
      <c r="A25" s="82">
        <v>5</v>
      </c>
      <c r="B25" s="84" t="s">
        <v>9</v>
      </c>
      <c r="C25" s="84" t="s">
        <v>26</v>
      </c>
      <c r="D25" s="213"/>
      <c r="E25" s="85"/>
      <c r="F25" s="85"/>
      <c r="G25" s="85"/>
      <c r="H25" s="213"/>
      <c r="I25" s="538">
        <v>40000</v>
      </c>
      <c r="J25" s="34"/>
      <c r="K25" s="1"/>
    </row>
    <row r="26" spans="1:11" ht="12.95" customHeight="1" x14ac:dyDescent="0.2">
      <c r="A26" s="82">
        <v>5</v>
      </c>
      <c r="B26" s="84" t="s">
        <v>11</v>
      </c>
      <c r="C26" s="84" t="s">
        <v>27</v>
      </c>
      <c r="D26" s="213"/>
      <c r="E26" s="85"/>
      <c r="F26" s="85"/>
      <c r="G26" s="85"/>
      <c r="H26" s="213"/>
      <c r="I26" s="538">
        <v>0</v>
      </c>
      <c r="J26" s="34"/>
      <c r="K26" s="1"/>
    </row>
    <row r="27" spans="1:11" ht="6.95" customHeight="1" x14ac:dyDescent="0.2">
      <c r="D27" s="8"/>
      <c r="E27" s="68"/>
      <c r="F27" s="68"/>
      <c r="G27" s="68"/>
      <c r="H27" s="8"/>
      <c r="I27" s="534"/>
      <c r="J27" s="34"/>
      <c r="K27" s="1"/>
    </row>
    <row r="28" spans="1:11" s="10" customFormat="1" ht="12.95" customHeight="1" x14ac:dyDescent="0.2">
      <c r="A28" s="643">
        <v>6</v>
      </c>
      <c r="B28" s="643"/>
      <c r="C28" s="76" t="s">
        <v>28</v>
      </c>
      <c r="D28" s="212"/>
      <c r="E28" s="77"/>
      <c r="F28" s="77"/>
      <c r="G28" s="77"/>
      <c r="H28" s="212">
        <f>I28/$I$38</f>
        <v>1.6E-2</v>
      </c>
      <c r="I28" s="535">
        <v>65000</v>
      </c>
      <c r="J28" s="34"/>
    </row>
    <row r="29" spans="1:11" ht="6.95" customHeight="1" x14ac:dyDescent="0.2">
      <c r="A29" s="13"/>
      <c r="B29" s="5"/>
      <c r="D29" s="214"/>
      <c r="E29" s="70"/>
      <c r="F29" s="70"/>
      <c r="G29" s="70"/>
      <c r="H29" s="214"/>
      <c r="I29" s="540"/>
      <c r="J29" s="34"/>
      <c r="K29" s="1"/>
    </row>
    <row r="30" spans="1:11" s="11" customFormat="1" ht="12.95" customHeight="1" x14ac:dyDescent="0.2">
      <c r="A30" s="643">
        <v>7</v>
      </c>
      <c r="B30" s="643"/>
      <c r="C30" s="76" t="s">
        <v>29</v>
      </c>
      <c r="D30" s="212"/>
      <c r="E30" s="77"/>
      <c r="F30" s="77"/>
      <c r="G30" s="77"/>
      <c r="H30" s="212">
        <f>I30/$I$38</f>
        <v>0.18479999999999999</v>
      </c>
      <c r="I30" s="535">
        <v>750000</v>
      </c>
      <c r="J30" s="34"/>
    </row>
    <row r="31" spans="1:11" ht="6.95" customHeight="1" x14ac:dyDescent="0.2">
      <c r="D31" s="214"/>
      <c r="E31" s="70"/>
      <c r="F31" s="70"/>
      <c r="G31" s="70"/>
      <c r="H31" s="214"/>
      <c r="I31" s="540"/>
      <c r="J31" s="34"/>
      <c r="K31" s="1"/>
    </row>
    <row r="32" spans="1:11" s="11" customFormat="1" ht="12.95" customHeight="1" x14ac:dyDescent="0.2">
      <c r="A32" s="643">
        <v>8</v>
      </c>
      <c r="B32" s="643"/>
      <c r="C32" s="76" t="s">
        <v>30</v>
      </c>
      <c r="D32" s="212"/>
      <c r="E32" s="77"/>
      <c r="F32" s="77"/>
      <c r="G32" s="77"/>
      <c r="H32" s="212">
        <f>I32/$I$38</f>
        <v>8.9999999999999998E-4</v>
      </c>
      <c r="I32" s="535">
        <v>3600</v>
      </c>
      <c r="J32" s="34"/>
    </row>
    <row r="33" spans="1:11" ht="6.95" customHeight="1" x14ac:dyDescent="0.2">
      <c r="D33" s="214"/>
      <c r="E33" s="70"/>
      <c r="F33" s="70"/>
      <c r="G33" s="70"/>
      <c r="H33" s="214"/>
      <c r="I33" s="540"/>
      <c r="J33" s="158"/>
      <c r="K33" s="1"/>
    </row>
    <row r="34" spans="1:11" s="11" customFormat="1" ht="12.95" customHeight="1" x14ac:dyDescent="0.2">
      <c r="A34" s="643">
        <v>9</v>
      </c>
      <c r="B34" s="643"/>
      <c r="C34" s="76" t="s">
        <v>31</v>
      </c>
      <c r="D34" s="212"/>
      <c r="E34" s="77"/>
      <c r="F34" s="77"/>
      <c r="G34" s="77"/>
      <c r="H34" s="212">
        <f>I34/$I$38</f>
        <v>5.5399999999999998E-2</v>
      </c>
      <c r="I34" s="535">
        <v>225000</v>
      </c>
      <c r="J34" s="34"/>
    </row>
    <row r="35" spans="1:11" ht="12" customHeight="1" x14ac:dyDescent="0.2">
      <c r="A35" s="13"/>
      <c r="B35" s="5"/>
      <c r="F35" s="32"/>
      <c r="G35" s="32"/>
      <c r="I35" s="33"/>
      <c r="J35" s="1"/>
      <c r="K35" s="1"/>
    </row>
    <row r="36" spans="1:11" ht="15" customHeight="1" x14ac:dyDescent="0.25">
      <c r="A36" s="66" t="s">
        <v>32</v>
      </c>
      <c r="B36" s="63"/>
      <c r="C36" s="63"/>
      <c r="D36" s="215"/>
      <c r="E36" s="63"/>
      <c r="F36" s="71"/>
      <c r="G36" s="71"/>
      <c r="H36" s="215">
        <f>SUM(H9:H21)</f>
        <v>0.71579999999999999</v>
      </c>
      <c r="I36" s="90">
        <f>I9+I11+I21</f>
        <v>2905000</v>
      </c>
    </row>
    <row r="37" spans="1:11" ht="5.0999999999999996" customHeight="1" x14ac:dyDescent="0.25">
      <c r="E37" s="70"/>
    </row>
    <row r="38" spans="1:11" ht="15" customHeight="1" x14ac:dyDescent="0.25">
      <c r="A38" s="66" t="s">
        <v>33</v>
      </c>
      <c r="B38" s="63"/>
      <c r="C38" s="63"/>
      <c r="D38" s="143"/>
      <c r="E38" s="63"/>
      <c r="F38" s="71"/>
      <c r="G38" s="71"/>
      <c r="H38" s="143">
        <f>SUM(H7:H34)</f>
        <v>1</v>
      </c>
      <c r="I38" s="90">
        <f>SUM(I7+I9+I11+I21+I23+I28+I30+I32+I34)</f>
        <v>4058600</v>
      </c>
      <c r="J38" s="22"/>
      <c r="K38" s="1"/>
    </row>
    <row r="39" spans="1:11" ht="8.1" customHeight="1" x14ac:dyDescent="0.25"/>
    <row r="40" spans="1:11" ht="12.75" customHeight="1" x14ac:dyDescent="0.25">
      <c r="A40" s="258"/>
      <c r="B40" s="259" t="s">
        <v>34</v>
      </c>
      <c r="C40" s="260"/>
      <c r="D40" s="77"/>
      <c r="E40" s="77"/>
      <c r="F40" s="77"/>
      <c r="G40" s="77"/>
      <c r="H40" s="77"/>
      <c r="I40" s="528">
        <v>120000</v>
      </c>
      <c r="J40" s="261"/>
    </row>
    <row r="41" spans="1:11" ht="29.25" customHeight="1" x14ac:dyDescent="0.25"/>
    <row r="42" spans="1:11" s="37" customFormat="1" ht="12.75" customHeight="1" x14ac:dyDescent="0.25">
      <c r="A42" s="107" t="s">
        <v>35</v>
      </c>
      <c r="B42" s="7"/>
      <c r="E42" s="38"/>
      <c r="F42" s="38"/>
      <c r="G42" s="38"/>
      <c r="H42" s="38"/>
      <c r="I42" s="43"/>
      <c r="J42" s="39"/>
      <c r="K42" s="39"/>
    </row>
    <row r="43" spans="1:11" s="10" customFormat="1" ht="4.5" customHeight="1" x14ac:dyDescent="0.25">
      <c r="A43" s="73"/>
      <c r="B43" s="73"/>
      <c r="C43" s="73"/>
      <c r="D43" s="73"/>
      <c r="E43" s="73"/>
      <c r="F43" s="73"/>
      <c r="G43" s="73"/>
      <c r="H43" s="73"/>
      <c r="I43" s="74"/>
    </row>
    <row r="44" spans="1:11" s="10" customFormat="1" ht="4.5" customHeight="1" x14ac:dyDescent="0.25">
      <c r="I44" s="2"/>
    </row>
    <row r="45" spans="1:11" s="10" customFormat="1" ht="12.75" customHeight="1" x14ac:dyDescent="0.25">
      <c r="E45" s="529" t="s">
        <v>36</v>
      </c>
      <c r="F45" s="529" t="s">
        <v>37</v>
      </c>
      <c r="G45" s="156"/>
      <c r="H45" s="189"/>
      <c r="I45" s="2"/>
    </row>
    <row r="46" spans="1:11" s="10" customFormat="1" ht="4.5" customHeight="1" x14ac:dyDescent="0.25">
      <c r="E46" s="134"/>
      <c r="G46" s="134"/>
      <c r="I46" s="2"/>
    </row>
    <row r="47" spans="1:11" ht="4.5" customHeight="1" x14ac:dyDescent="0.25">
      <c r="A47" s="4"/>
      <c r="B47" s="6"/>
      <c r="E47" s="8"/>
      <c r="F47" s="190"/>
      <c r="G47" s="8"/>
      <c r="H47" s="190"/>
      <c r="I47" s="127"/>
    </row>
    <row r="48" spans="1:11" s="11" customFormat="1" ht="12.95" customHeight="1" x14ac:dyDescent="0.2">
      <c r="A48" s="129" t="str">
        <f>GP2aNEU!H3</f>
        <v>Generalplaner Leitung 2.a 
nach VM.GP.2023</v>
      </c>
      <c r="B48" s="130"/>
      <c r="C48" s="131"/>
      <c r="D48" s="131"/>
      <c r="E48" s="530">
        <f>I48/$I$36</f>
        <v>1.35E-2</v>
      </c>
      <c r="F48" s="531">
        <f>I48/$I$38</f>
        <v>9.5999999999999992E-3</v>
      </c>
      <c r="G48" s="212"/>
      <c r="H48" s="216"/>
      <c r="I48" s="132">
        <f>GP2aNEU!I79</f>
        <v>39149</v>
      </c>
    </row>
    <row r="49" spans="1:10" ht="4.5" customHeight="1" x14ac:dyDescent="0.25">
      <c r="A49" s="37"/>
      <c r="B49" s="37"/>
      <c r="E49" s="268"/>
      <c r="F49" s="541"/>
      <c r="G49" s="8"/>
      <c r="H49" s="217"/>
      <c r="I49" s="126"/>
    </row>
    <row r="50" spans="1:10" s="124" customFormat="1" ht="12.95" customHeight="1" x14ac:dyDescent="0.2">
      <c r="A50" s="129" t="str">
        <f>BauKG!A42</f>
        <v xml:space="preserve">BauKG nach VM.BKG.2023 </v>
      </c>
      <c r="B50" s="130"/>
      <c r="C50" s="131"/>
      <c r="D50" s="131"/>
      <c r="E50" s="530">
        <f>I50/$I$36</f>
        <v>7.1999999999999998E-3</v>
      </c>
      <c r="F50" s="531">
        <f>I50/$I$38</f>
        <v>5.1000000000000004E-3</v>
      </c>
      <c r="G50" s="212"/>
      <c r="H50" s="216"/>
      <c r="I50" s="132">
        <f>BauKG!I79</f>
        <v>20894</v>
      </c>
    </row>
    <row r="51" spans="1:10" ht="4.5" customHeight="1" x14ac:dyDescent="0.25">
      <c r="A51" s="37"/>
      <c r="B51" s="37"/>
      <c r="E51" s="268"/>
      <c r="F51" s="541"/>
      <c r="G51" s="8"/>
      <c r="H51" s="217"/>
      <c r="I51" s="126"/>
    </row>
    <row r="52" spans="1:10" s="124" customFormat="1" ht="12.75" customHeight="1" x14ac:dyDescent="0.2">
      <c r="A52" s="129" t="str">
        <f>'Objektplanung Architektur'!A40</f>
        <v>Objektplanung Architektur nach VM.OA.2023</v>
      </c>
      <c r="B52" s="130"/>
      <c r="C52" s="131"/>
      <c r="D52" s="131"/>
      <c r="E52" s="530">
        <f>I52/$I$36</f>
        <v>0.10680000000000001</v>
      </c>
      <c r="F52" s="531">
        <f>I52/$I$38</f>
        <v>7.6399999999999996E-2</v>
      </c>
      <c r="G52" s="212"/>
      <c r="H52" s="216"/>
      <c r="I52" s="132">
        <f>'Objektplanung Architektur'!I91</f>
        <v>310162</v>
      </c>
    </row>
    <row r="53" spans="1:10" ht="4.5" customHeight="1" x14ac:dyDescent="0.25">
      <c r="A53" s="4"/>
      <c r="B53" s="6"/>
      <c r="E53" s="268"/>
      <c r="F53" s="541"/>
      <c r="G53" s="8"/>
      <c r="H53" s="217"/>
      <c r="I53" s="126"/>
    </row>
    <row r="54" spans="1:10" s="11" customFormat="1" ht="12.95" customHeight="1" x14ac:dyDescent="0.2">
      <c r="A54" s="129" t="str">
        <f>'ED zusammen'!A36</f>
        <v xml:space="preserve">Einrichtungsplanung-Design nach VM.ED.2023 </v>
      </c>
      <c r="B54" s="130"/>
      <c r="C54" s="131"/>
      <c r="D54" s="131"/>
      <c r="E54" s="530">
        <f>I54/$I$36</f>
        <v>1.2500000000000001E-2</v>
      </c>
      <c r="F54" s="531">
        <f>I54/$I$38</f>
        <v>8.8999999999999999E-3</v>
      </c>
      <c r="G54" s="212"/>
      <c r="H54" s="216"/>
      <c r="I54" s="132">
        <f>'ED zusammen'!I79</f>
        <v>36177</v>
      </c>
    </row>
    <row r="55" spans="1:10" ht="4.5" customHeight="1" x14ac:dyDescent="0.25">
      <c r="A55" s="37"/>
      <c r="B55" s="37"/>
      <c r="E55" s="268"/>
      <c r="F55" s="541"/>
      <c r="G55" s="8"/>
      <c r="H55" s="217"/>
      <c r="I55" s="126"/>
    </row>
    <row r="56" spans="1:10" s="124" customFormat="1" ht="12.95" customHeight="1" x14ac:dyDescent="0.2">
      <c r="A56" s="129" t="str">
        <f>Freianlagen!A31</f>
        <v>Freianlagen nach VM.FA.2023</v>
      </c>
      <c r="B56" s="130"/>
      <c r="C56" s="131"/>
      <c r="D56" s="131"/>
      <c r="E56" s="530">
        <f>I56/$I$36</f>
        <v>1.0699999999999999E-2</v>
      </c>
      <c r="F56" s="531">
        <f>I56/$I$38</f>
        <v>7.6E-3</v>
      </c>
      <c r="G56" s="212"/>
      <c r="H56" s="216"/>
      <c r="I56" s="132">
        <f>Freianlagen!I77</f>
        <v>30942</v>
      </c>
    </row>
    <row r="57" spans="1:10" ht="4.5" customHeight="1" x14ac:dyDescent="0.25">
      <c r="A57" s="13"/>
      <c r="B57" s="5"/>
      <c r="E57" s="542"/>
      <c r="F57" s="541"/>
      <c r="G57" s="214"/>
      <c r="H57" s="217"/>
      <c r="I57" s="126"/>
      <c r="J57" s="9"/>
    </row>
    <row r="58" spans="1:10" s="11" customFormat="1" ht="12.95" customHeight="1" x14ac:dyDescent="0.2">
      <c r="A58" s="129" t="str">
        <f>Tragwerksplanung!A39</f>
        <v>Tragwerksplanung nach VM.TW.2023</v>
      </c>
      <c r="B58" s="130"/>
      <c r="C58" s="131"/>
      <c r="D58" s="131"/>
      <c r="E58" s="530">
        <f>I58/$I$36</f>
        <v>5.0700000000000002E-2</v>
      </c>
      <c r="F58" s="531">
        <f>I58/$I$38</f>
        <v>3.6299999999999999E-2</v>
      </c>
      <c r="G58" s="212"/>
      <c r="H58" s="216"/>
      <c r="I58" s="132">
        <f>Tragwerksplanung!I83</f>
        <v>147181</v>
      </c>
      <c r="J58" s="3"/>
    </row>
    <row r="59" spans="1:10" ht="4.5" customHeight="1" x14ac:dyDescent="0.25">
      <c r="A59" s="37"/>
      <c r="B59" s="37"/>
      <c r="E59" s="542"/>
      <c r="F59" s="541"/>
      <c r="G59" s="214"/>
      <c r="H59" s="217"/>
      <c r="I59" s="126"/>
      <c r="J59" s="9"/>
    </row>
    <row r="60" spans="1:10" s="11" customFormat="1" ht="12.95" customHeight="1" x14ac:dyDescent="0.2">
      <c r="A60" s="129" t="str">
        <f>'BPH-Thermisch'!A38</f>
        <v>Thermische Bauphysik nach VM.BP.2023</v>
      </c>
      <c r="B60" s="130"/>
      <c r="C60" s="131"/>
      <c r="D60" s="131"/>
      <c r="E60" s="530">
        <f>I60/$I$36</f>
        <v>2.8999999999999998E-3</v>
      </c>
      <c r="F60" s="531">
        <f>I60/$I$38</f>
        <v>2.0999999999999999E-3</v>
      </c>
      <c r="G60" s="212"/>
      <c r="H60" s="216"/>
      <c r="I60" s="132">
        <f>'BPH-Thermisch'!I81</f>
        <v>8430</v>
      </c>
      <c r="J60" s="30"/>
    </row>
    <row r="61" spans="1:10" ht="4.5" customHeight="1" x14ac:dyDescent="0.25">
      <c r="A61" s="37"/>
      <c r="B61" s="37"/>
      <c r="E61" s="542"/>
      <c r="F61" s="541"/>
      <c r="G61" s="214"/>
      <c r="H61" s="217"/>
      <c r="I61" s="126"/>
      <c r="J61" s="22"/>
    </row>
    <row r="62" spans="1:10" s="11" customFormat="1" ht="12.95" customHeight="1" x14ac:dyDescent="0.2">
      <c r="A62" s="129" t="str">
        <f>'BPH-Schallschutz'!A38</f>
        <v>Bauphysik Schallschutz nach VM.BP.2023</v>
      </c>
      <c r="B62" s="130"/>
      <c r="C62" s="131"/>
      <c r="D62" s="131"/>
      <c r="E62" s="530">
        <f>I62/$I$36</f>
        <v>3.3E-3</v>
      </c>
      <c r="F62" s="531">
        <f>I62/$I$38</f>
        <v>2.3999999999999998E-3</v>
      </c>
      <c r="G62" s="212"/>
      <c r="H62" s="216"/>
      <c r="I62" s="132">
        <f>'BPH-Schallschutz'!I80</f>
        <v>9576</v>
      </c>
      <c r="J62" s="22"/>
    </row>
    <row r="63" spans="1:10" ht="4.5" customHeight="1" x14ac:dyDescent="0.25">
      <c r="A63" s="37"/>
      <c r="B63" s="37"/>
      <c r="E63" s="268"/>
      <c r="F63" s="541"/>
      <c r="G63" s="32"/>
      <c r="H63" s="217"/>
      <c r="I63" s="128"/>
      <c r="J63" s="22"/>
    </row>
    <row r="64" spans="1:10" s="11" customFormat="1" ht="12.95" customHeight="1" x14ac:dyDescent="0.2">
      <c r="A64" s="129" t="str">
        <f>'BPH-Raumakustik'!A39</f>
        <v>Bauphysik Raumakustik nach VM.BP.2023</v>
      </c>
      <c r="B64" s="130"/>
      <c r="C64" s="131"/>
      <c r="D64" s="131"/>
      <c r="E64" s="530">
        <f>I64/$I$36</f>
        <v>5.9999999999999995E-4</v>
      </c>
      <c r="F64" s="531">
        <f>I64/$I$38</f>
        <v>5.0000000000000001E-4</v>
      </c>
      <c r="G64" s="212"/>
      <c r="H64" s="216"/>
      <c r="I64" s="132">
        <f>'BPH-Raumakustik'!I83</f>
        <v>1873</v>
      </c>
    </row>
    <row r="65" spans="1:11" ht="4.5" customHeight="1" x14ac:dyDescent="0.25">
      <c r="A65" s="37"/>
      <c r="B65" s="37"/>
      <c r="E65" s="268"/>
      <c r="F65" s="541"/>
      <c r="G65" s="8"/>
      <c r="H65" s="217"/>
      <c r="I65" s="126"/>
    </row>
    <row r="66" spans="1:11" s="124" customFormat="1" ht="12.95" customHeight="1" x14ac:dyDescent="0.2">
      <c r="A66" s="129" t="s">
        <v>38</v>
      </c>
      <c r="B66" s="130"/>
      <c r="C66" s="131"/>
      <c r="D66" s="131"/>
      <c r="E66" s="530">
        <f>I66/$I$36</f>
        <v>3.78E-2</v>
      </c>
      <c r="F66" s="531">
        <f>I66/$I$38</f>
        <v>2.7099999999999999E-2</v>
      </c>
      <c r="G66" s="212"/>
      <c r="H66" s="216"/>
      <c r="I66" s="132">
        <f>TA_ges!I90</f>
        <v>109912</v>
      </c>
      <c r="K66" s="556"/>
    </row>
    <row r="67" spans="1:11" ht="4.5" customHeight="1" x14ac:dyDescent="0.25">
      <c r="A67" s="37"/>
      <c r="B67" s="37"/>
      <c r="E67" s="268"/>
      <c r="F67" s="541"/>
      <c r="G67" s="8"/>
      <c r="H67" s="217"/>
      <c r="I67" s="126"/>
    </row>
    <row r="68" spans="1:11" s="124" customFormat="1" ht="12.95" customHeight="1" x14ac:dyDescent="0.2">
      <c r="A68" s="129" t="s">
        <v>220</v>
      </c>
      <c r="B68" s="130"/>
      <c r="C68" s="131"/>
      <c r="D68" s="131"/>
      <c r="E68" s="530">
        <f>I68/$I$36</f>
        <v>5.7000000000000002E-3</v>
      </c>
      <c r="F68" s="531">
        <f>I68/$I$38</f>
        <v>4.0000000000000001E-3</v>
      </c>
      <c r="G68" s="212"/>
      <c r="H68" s="216"/>
      <c r="I68" s="132">
        <f>Brandschutz!I84</f>
        <v>16429</v>
      </c>
      <c r="K68" s="556"/>
    </row>
    <row r="69" spans="1:11" ht="12.75" customHeight="1" x14ac:dyDescent="0.25">
      <c r="E69" s="268"/>
      <c r="F69" s="357"/>
      <c r="I69" s="159"/>
    </row>
    <row r="70" spans="1:11" s="23" customFormat="1" ht="12.75" x14ac:dyDescent="0.2">
      <c r="A70" s="94" t="s">
        <v>39</v>
      </c>
      <c r="B70" s="95"/>
      <c r="C70" s="96"/>
      <c r="D70" s="96"/>
      <c r="E70" s="98"/>
      <c r="F70" s="98"/>
      <c r="G70" s="98"/>
      <c r="H70" s="137"/>
      <c r="I70" s="99">
        <f>SUM(I47:I68)</f>
        <v>730725</v>
      </c>
      <c r="J70" s="60"/>
      <c r="K70" s="62"/>
    </row>
    <row r="71" spans="1:11" s="23" customFormat="1" ht="4.5" customHeight="1" x14ac:dyDescent="0.2">
      <c r="A71" s="24"/>
      <c r="B71" s="25"/>
      <c r="C71" s="25"/>
      <c r="D71" s="46"/>
      <c r="E71" s="47"/>
      <c r="F71" s="47"/>
      <c r="G71" s="47"/>
      <c r="H71" s="48"/>
      <c r="I71" s="91"/>
      <c r="K71" s="25"/>
    </row>
    <row r="72" spans="1:11" s="23" customFormat="1" ht="12.75" x14ac:dyDescent="0.2">
      <c r="A72" s="49" t="s">
        <v>40</v>
      </c>
      <c r="B72" s="24"/>
      <c r="C72" s="25"/>
      <c r="D72" s="25"/>
      <c r="E72" s="47"/>
      <c r="F72" s="47"/>
      <c r="G72" s="47"/>
      <c r="H72" s="133"/>
      <c r="I72" s="92">
        <f>GP2aNEU!I81+BauKG!I81+'Objektplanung Architektur'!I93+'ED zusammen'!J81+Freianlagen!I79+Tragwerksplanung!I85+'BPH-Thermisch'!I83+'BPH-Schallschutz'!I82+'BPH-Raumakustik'!I85+TA_ges!I92+Brandschutz!I86</f>
        <v>27781</v>
      </c>
      <c r="J72" s="49"/>
      <c r="K72" s="25"/>
    </row>
    <row r="73" spans="1:11" s="23" customFormat="1" ht="3" customHeight="1" x14ac:dyDescent="0.2">
      <c r="A73" s="50"/>
      <c r="B73" s="51"/>
      <c r="C73" s="52"/>
      <c r="D73" s="52"/>
      <c r="E73" s="56"/>
      <c r="F73" s="56"/>
      <c r="G73" s="56"/>
      <c r="H73" s="135"/>
      <c r="I73" s="93"/>
      <c r="K73" s="25"/>
    </row>
    <row r="74" spans="1:11" s="23" customFormat="1" ht="3" customHeight="1" x14ac:dyDescent="0.2">
      <c r="A74" s="24"/>
      <c r="B74" s="25"/>
      <c r="C74" s="25"/>
      <c r="D74" s="58"/>
      <c r="E74" s="58"/>
      <c r="F74" s="58"/>
      <c r="G74" s="58"/>
      <c r="H74" s="136"/>
      <c r="I74" s="91"/>
      <c r="K74" s="25"/>
    </row>
    <row r="75" spans="1:11" s="23" customFormat="1" ht="12.75" x14ac:dyDescent="0.2">
      <c r="A75" s="53" t="s">
        <v>41</v>
      </c>
      <c r="B75" s="55"/>
      <c r="C75" s="55"/>
      <c r="D75" s="26"/>
      <c r="E75" s="26"/>
      <c r="G75" s="146" t="s">
        <v>42</v>
      </c>
      <c r="H75" s="218">
        <f>I75/I38</f>
        <v>0.18690000000000001</v>
      </c>
      <c r="I75" s="92">
        <f>I70+I72</f>
        <v>758506</v>
      </c>
      <c r="J75" s="53"/>
      <c r="K75" s="55"/>
    </row>
    <row r="76" spans="1:11" s="23" customFormat="1" ht="4.5" customHeight="1" x14ac:dyDescent="0.2">
      <c r="A76" s="54"/>
      <c r="B76" s="55"/>
      <c r="C76" s="55"/>
      <c r="D76" s="26"/>
      <c r="E76" s="26"/>
      <c r="F76" s="26"/>
      <c r="G76" s="26"/>
      <c r="H76" s="219"/>
      <c r="I76" s="92"/>
      <c r="J76" s="53"/>
      <c r="K76" s="55"/>
    </row>
    <row r="77" spans="1:11" s="23" customFormat="1" ht="12.75" x14ac:dyDescent="0.2">
      <c r="A77" s="23" t="s">
        <v>43</v>
      </c>
      <c r="B77" s="55"/>
      <c r="C77" s="55"/>
      <c r="D77" s="26"/>
      <c r="E77" s="26"/>
      <c r="F77" s="26"/>
      <c r="G77" s="26"/>
      <c r="H77" s="220">
        <v>0.02</v>
      </c>
      <c r="I77" s="91">
        <f>H77*I75</f>
        <v>15170</v>
      </c>
      <c r="J77" s="53"/>
      <c r="K77" s="55"/>
    </row>
    <row r="78" spans="1:11" s="23" customFormat="1" ht="3" customHeight="1" x14ac:dyDescent="0.2">
      <c r="A78" s="54"/>
      <c r="B78" s="55"/>
      <c r="C78" s="55"/>
      <c r="D78" s="26"/>
      <c r="E78" s="26"/>
      <c r="F78" s="26"/>
      <c r="G78" s="26"/>
      <c r="H78" s="219"/>
      <c r="I78" s="91"/>
      <c r="J78" s="53"/>
      <c r="K78" s="55"/>
    </row>
    <row r="79" spans="1:11" s="23" customFormat="1" ht="12.75" x14ac:dyDescent="0.2">
      <c r="A79" s="23" t="s">
        <v>44</v>
      </c>
      <c r="B79" s="55"/>
      <c r="C79" s="55"/>
      <c r="D79" s="26"/>
      <c r="F79" s="157" t="s">
        <v>45</v>
      </c>
      <c r="G79" s="157"/>
      <c r="H79" s="220">
        <v>1.4999999999999999E-2</v>
      </c>
      <c r="I79" s="91">
        <f>H79*I75</f>
        <v>11378</v>
      </c>
      <c r="J79" s="53"/>
      <c r="K79" s="55"/>
    </row>
    <row r="80" spans="1:11" s="23" customFormat="1" ht="3" customHeight="1" x14ac:dyDescent="0.2">
      <c r="A80" s="54"/>
      <c r="B80" s="55"/>
      <c r="C80" s="55"/>
      <c r="D80" s="26"/>
      <c r="E80" s="26"/>
      <c r="F80" s="26"/>
      <c r="G80" s="26"/>
      <c r="H80" s="27"/>
      <c r="I80" s="91"/>
      <c r="J80" s="53"/>
      <c r="K80" s="55"/>
    </row>
    <row r="81" spans="1:11" s="23" customFormat="1" ht="12.75" x14ac:dyDescent="0.2">
      <c r="A81" s="23" t="s">
        <v>46</v>
      </c>
      <c r="B81" s="55"/>
      <c r="C81" s="55"/>
      <c r="D81" s="26"/>
      <c r="E81" s="26"/>
      <c r="F81" s="26"/>
      <c r="G81" s="26"/>
      <c r="H81" s="220">
        <v>1.4999999999999999E-2</v>
      </c>
      <c r="I81" s="91">
        <f>I75*H81</f>
        <v>11378</v>
      </c>
      <c r="J81" s="53"/>
      <c r="K81" s="55"/>
    </row>
    <row r="82" spans="1:11" s="23" customFormat="1" ht="3" customHeight="1" x14ac:dyDescent="0.2">
      <c r="A82" s="54"/>
      <c r="B82" s="55"/>
      <c r="C82" s="55"/>
      <c r="D82" s="26"/>
      <c r="E82" s="26"/>
      <c r="F82" s="26"/>
      <c r="G82" s="26"/>
      <c r="H82" s="27"/>
      <c r="I82" s="92"/>
      <c r="J82" s="53"/>
      <c r="K82" s="55"/>
    </row>
    <row r="83" spans="1:11" s="23" customFormat="1" ht="3" customHeight="1" x14ac:dyDescent="0.2">
      <c r="A83" s="50"/>
      <c r="B83" s="52"/>
      <c r="C83" s="52"/>
      <c r="D83" s="56"/>
      <c r="E83" s="56"/>
      <c r="F83" s="56"/>
      <c r="G83" s="56"/>
      <c r="H83" s="221"/>
      <c r="I83" s="93"/>
      <c r="K83" s="25"/>
    </row>
    <row r="84" spans="1:11" s="23" customFormat="1" ht="3" customHeight="1" x14ac:dyDescent="0.2">
      <c r="B84" s="25"/>
      <c r="C84" s="25"/>
      <c r="D84" s="58"/>
      <c r="E84" s="58"/>
      <c r="F84" s="58"/>
      <c r="G84" s="58"/>
      <c r="H84" s="222"/>
      <c r="I84" s="91"/>
      <c r="K84" s="25"/>
    </row>
    <row r="85" spans="1:11" s="23" customFormat="1" ht="12.75" x14ac:dyDescent="0.2">
      <c r="A85" s="53" t="s">
        <v>47</v>
      </c>
      <c r="B85" s="55"/>
      <c r="C85" s="55"/>
      <c r="D85" s="26"/>
      <c r="E85" s="26"/>
      <c r="F85" s="26"/>
      <c r="G85" s="26"/>
      <c r="H85" s="219"/>
      <c r="I85" s="92">
        <f>SUM(I75:I82)</f>
        <v>796432</v>
      </c>
      <c r="J85" s="53"/>
      <c r="K85" s="55"/>
    </row>
    <row r="86" spans="1:11" s="23" customFormat="1" ht="4.5" customHeight="1" x14ac:dyDescent="0.2">
      <c r="B86" s="55"/>
      <c r="C86" s="55"/>
      <c r="D86" s="26"/>
      <c r="E86" s="26"/>
      <c r="F86" s="26"/>
      <c r="G86" s="26"/>
      <c r="H86" s="219"/>
      <c r="I86" s="92"/>
      <c r="J86" s="53"/>
      <c r="K86" s="55"/>
    </row>
    <row r="87" spans="1:11" s="23" customFormat="1" ht="12.75" x14ac:dyDescent="0.2">
      <c r="A87" s="23" t="s">
        <v>48</v>
      </c>
      <c r="C87" s="25"/>
      <c r="D87" s="26"/>
      <c r="E87" s="26"/>
      <c r="F87" s="26"/>
      <c r="G87" s="26"/>
      <c r="H87" s="27">
        <v>0.2</v>
      </c>
      <c r="I87" s="92">
        <f>ROUND(I75*H87,2)</f>
        <v>151701</v>
      </c>
      <c r="K87" s="27"/>
    </row>
    <row r="88" spans="1:11" s="23" customFormat="1" ht="3" customHeight="1" x14ac:dyDescent="0.2">
      <c r="B88" s="25"/>
      <c r="C88" s="25"/>
      <c r="D88" s="26"/>
      <c r="E88" s="26"/>
      <c r="F88" s="26"/>
      <c r="G88" s="26"/>
      <c r="H88" s="219"/>
      <c r="I88" s="91"/>
      <c r="K88" s="25"/>
    </row>
    <row r="89" spans="1:11" s="23" customFormat="1" ht="12.75" x14ac:dyDescent="0.2">
      <c r="A89" s="191" t="s">
        <v>49</v>
      </c>
      <c r="B89" s="192"/>
      <c r="C89" s="192"/>
      <c r="D89" s="193"/>
      <c r="E89" s="194"/>
      <c r="F89" s="194"/>
      <c r="G89" s="194"/>
      <c r="H89" s="223"/>
      <c r="I89" s="196">
        <f>SUM(I85:I87)</f>
        <v>948133</v>
      </c>
      <c r="J89" s="53"/>
      <c r="K89" s="55"/>
    </row>
    <row r="90" spans="1:11" s="23" customFormat="1" ht="6.95" customHeight="1" x14ac:dyDescent="0.2">
      <c r="B90" s="25"/>
      <c r="C90" s="25"/>
      <c r="D90" s="46"/>
      <c r="E90" s="47"/>
      <c r="F90" s="47"/>
      <c r="G90" s="47"/>
      <c r="H90" s="219"/>
      <c r="I90" s="91"/>
      <c r="K90" s="25"/>
    </row>
    <row r="91" spans="1:11" s="23" customFormat="1" ht="15" customHeight="1" x14ac:dyDescent="0.2">
      <c r="A91" s="125" t="s">
        <v>50</v>
      </c>
      <c r="B91" s="25"/>
      <c r="C91" s="25"/>
      <c r="E91" s="532">
        <f>I85/I38</f>
        <v>0.19623299999999999</v>
      </c>
      <c r="H91" s="532"/>
      <c r="I91" s="92"/>
      <c r="J91" s="49"/>
      <c r="K91" s="25"/>
    </row>
    <row r="92" spans="1:11" x14ac:dyDescent="0.25">
      <c r="E92" s="47"/>
      <c r="F92" s="47"/>
    </row>
    <row r="93" spans="1:11" x14ac:dyDescent="0.25">
      <c r="A93" s="567" t="s">
        <v>245</v>
      </c>
      <c r="B93" s="568"/>
    </row>
    <row r="94" spans="1:11" x14ac:dyDescent="0.25">
      <c r="A94" s="567" t="s">
        <v>246</v>
      </c>
      <c r="B94" s="568"/>
    </row>
  </sheetData>
  <sheetProtection algorithmName="SHA-512" hashValue="VAoULtDPqthwYsLbw3kp7XfLIBzylqQ9FyVnx+CSdtKPCZOAuUeZB9vTbKeKWX/9ZTLIQiAS2/hIvpL8s1FxQQ==" saltValue="4FvVohd3SswdgDlLH8nnGQ==" spinCount="100000" sheet="1" objects="1" scenarios="1"/>
  <mergeCells count="10">
    <mergeCell ref="H2:I2"/>
    <mergeCell ref="A7:B7"/>
    <mergeCell ref="A9:B9"/>
    <mergeCell ref="A11:B11"/>
    <mergeCell ref="A21:B21"/>
    <mergeCell ref="A23:B23"/>
    <mergeCell ref="A28:B28"/>
    <mergeCell ref="A30:B30"/>
    <mergeCell ref="A32:B32"/>
    <mergeCell ref="A34:B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AB01-E059-41C8-A5AA-CB90C92ABE9F}">
  <sheetPr>
    <tabColor theme="6"/>
  </sheetPr>
  <dimension ref="A1:N93"/>
  <sheetViews>
    <sheetView showGridLines="0" zoomScaleNormal="100" zoomScaleSheetLayoutView="190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 x14ac:dyDescent="0.2"/>
    <row r="2" spans="1:11" s="37" customFormat="1" ht="35.1" customHeight="1" x14ac:dyDescent="0.2">
      <c r="A2" s="107" t="s">
        <v>51</v>
      </c>
      <c r="C2" s="7"/>
      <c r="G2" s="38"/>
      <c r="H2" s="644" t="s">
        <v>255</v>
      </c>
      <c r="I2" s="644"/>
      <c r="J2" s="560"/>
      <c r="K2" s="43"/>
    </row>
    <row r="3" spans="1:11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 x14ac:dyDescent="0.25">
      <c r="J4" s="2"/>
      <c r="K4" s="2"/>
    </row>
    <row r="5" spans="1:11" s="10" customFormat="1" ht="12.95" customHeight="1" x14ac:dyDescent="0.25">
      <c r="D5" s="69" t="s">
        <v>2</v>
      </c>
      <c r="E5" s="30" t="s">
        <v>3</v>
      </c>
      <c r="G5" s="30"/>
      <c r="H5" s="12" t="s">
        <v>52</v>
      </c>
      <c r="I5" s="89" t="s">
        <v>53</v>
      </c>
      <c r="K5" s="30"/>
    </row>
    <row r="6" spans="1:11" s="10" customFormat="1" ht="6" customHeight="1" x14ac:dyDescent="0.25">
      <c r="E6" s="67"/>
      <c r="I6" s="2"/>
      <c r="K6" s="2"/>
    </row>
    <row r="7" spans="1:11" s="11" customFormat="1" ht="12.95" customHeight="1" x14ac:dyDescent="0.2">
      <c r="A7" s="645">
        <v>1</v>
      </c>
      <c r="B7" s="645"/>
      <c r="C7" s="76" t="s">
        <v>4</v>
      </c>
      <c r="D7" s="138">
        <f>E7/$E$33</f>
        <v>2E-3</v>
      </c>
      <c r="E7" s="153">
        <f>_1</f>
        <v>10000</v>
      </c>
      <c r="F7" s="72"/>
      <c r="G7" s="72"/>
      <c r="H7" s="502">
        <v>0</v>
      </c>
      <c r="I7" s="153">
        <f>E7*H7</f>
        <v>0</v>
      </c>
      <c r="K7" s="34"/>
    </row>
    <row r="8" spans="1:11" ht="3.95" customHeight="1" x14ac:dyDescent="0.2">
      <c r="B8" s="4"/>
      <c r="C8" s="1"/>
      <c r="D8" s="139"/>
      <c r="E8" s="127"/>
      <c r="H8" s="503"/>
      <c r="I8" s="127"/>
      <c r="K8" s="44"/>
    </row>
    <row r="9" spans="1:11" s="11" customFormat="1" ht="12.95" customHeight="1" x14ac:dyDescent="0.2">
      <c r="A9" s="645">
        <v>2</v>
      </c>
      <c r="B9" s="645"/>
      <c r="C9" s="76" t="s">
        <v>5</v>
      </c>
      <c r="D9" s="138">
        <f>E9/$E$33</f>
        <v>0.37</v>
      </c>
      <c r="E9" s="153">
        <f>_2</f>
        <v>1500000</v>
      </c>
      <c r="F9" s="72"/>
      <c r="G9" s="72"/>
      <c r="H9" s="504">
        <v>1</v>
      </c>
      <c r="I9" s="153">
        <f>E9*H9</f>
        <v>1500000</v>
      </c>
      <c r="K9" s="34"/>
    </row>
    <row r="10" spans="1:11" ht="3.95" customHeight="1" x14ac:dyDescent="0.2">
      <c r="C10" s="1"/>
      <c r="D10" s="139"/>
      <c r="E10" s="505"/>
      <c r="H10" s="503"/>
      <c r="I10" s="126"/>
      <c r="K10" s="34"/>
    </row>
    <row r="11" spans="1:11" s="10" customFormat="1" ht="12.95" customHeight="1" x14ac:dyDescent="0.2">
      <c r="A11" s="645">
        <v>3</v>
      </c>
      <c r="B11" s="645"/>
      <c r="C11" s="76" t="s">
        <v>6</v>
      </c>
      <c r="D11" s="138">
        <f>E11/$E$33</f>
        <v>0.14899999999999999</v>
      </c>
      <c r="E11" s="154">
        <f>_3</f>
        <v>605000</v>
      </c>
      <c r="F11" s="72"/>
      <c r="G11" s="72"/>
      <c r="H11" s="503"/>
      <c r="I11" s="126"/>
      <c r="K11" s="34"/>
    </row>
    <row r="12" spans="1:11" ht="12.95" customHeight="1" x14ac:dyDescent="0.2">
      <c r="A12" s="348">
        <v>3</v>
      </c>
      <c r="B12" s="79" t="s">
        <v>7</v>
      </c>
      <c r="C12" s="80" t="s">
        <v>8</v>
      </c>
      <c r="D12" s="140"/>
      <c r="E12" s="150">
        <f>_3.01</f>
        <v>120000</v>
      </c>
      <c r="F12" s="72"/>
      <c r="G12" s="72"/>
      <c r="H12" s="504">
        <v>1</v>
      </c>
      <c r="I12" s="155">
        <f t="shared" ref="I12:I19" si="0">E12*H12</f>
        <v>120000</v>
      </c>
      <c r="K12" s="34"/>
    </row>
    <row r="13" spans="1:11" ht="12.95" customHeight="1" x14ac:dyDescent="0.2">
      <c r="A13" s="349">
        <v>3</v>
      </c>
      <c r="B13" s="83" t="s">
        <v>9</v>
      </c>
      <c r="C13" s="84" t="s">
        <v>10</v>
      </c>
      <c r="D13" s="141"/>
      <c r="E13" s="151">
        <f>_3.02</f>
        <v>130000</v>
      </c>
      <c r="F13" s="72"/>
      <c r="G13" s="72"/>
      <c r="H13" s="504">
        <v>1</v>
      </c>
      <c r="I13" s="209">
        <f t="shared" si="0"/>
        <v>130000</v>
      </c>
      <c r="K13" s="34"/>
    </row>
    <row r="14" spans="1:11" ht="12.95" customHeight="1" x14ac:dyDescent="0.2">
      <c r="A14" s="349">
        <v>3</v>
      </c>
      <c r="B14" s="83" t="s">
        <v>11</v>
      </c>
      <c r="C14" s="84" t="s">
        <v>12</v>
      </c>
      <c r="D14" s="141"/>
      <c r="E14" s="152">
        <f>_3.03</f>
        <v>130000</v>
      </c>
      <c r="F14" s="72"/>
      <c r="G14" s="72"/>
      <c r="H14" s="504">
        <v>1</v>
      </c>
      <c r="I14" s="209">
        <f t="shared" si="0"/>
        <v>130000</v>
      </c>
      <c r="K14" s="34"/>
    </row>
    <row r="15" spans="1:11" ht="12.95" customHeight="1" x14ac:dyDescent="0.2">
      <c r="A15" s="349">
        <v>3</v>
      </c>
      <c r="B15" s="83" t="s">
        <v>13</v>
      </c>
      <c r="C15" s="84" t="s">
        <v>14</v>
      </c>
      <c r="D15" s="141"/>
      <c r="E15" s="152">
        <f>_3.04</f>
        <v>140000</v>
      </c>
      <c r="F15" s="72"/>
      <c r="G15" s="72"/>
      <c r="H15" s="504">
        <v>1</v>
      </c>
      <c r="I15" s="209">
        <f t="shared" si="0"/>
        <v>140000</v>
      </c>
      <c r="K15" s="34"/>
    </row>
    <row r="16" spans="1:11" ht="12.95" customHeight="1" x14ac:dyDescent="0.2">
      <c r="A16" s="349">
        <v>3</v>
      </c>
      <c r="B16" s="83" t="s">
        <v>15</v>
      </c>
      <c r="C16" s="84" t="s">
        <v>16</v>
      </c>
      <c r="D16" s="141"/>
      <c r="E16" s="152">
        <f>_3.05</f>
        <v>65000</v>
      </c>
      <c r="F16" s="72"/>
      <c r="G16" s="72"/>
      <c r="H16" s="504">
        <v>1</v>
      </c>
      <c r="I16" s="209">
        <f t="shared" si="0"/>
        <v>65000</v>
      </c>
      <c r="K16" s="34"/>
    </row>
    <row r="17" spans="1:11" ht="12.95" customHeight="1" x14ac:dyDescent="0.2">
      <c r="A17" s="349">
        <v>3</v>
      </c>
      <c r="B17" s="83" t="s">
        <v>17</v>
      </c>
      <c r="C17" s="84" t="s">
        <v>18</v>
      </c>
      <c r="D17" s="141"/>
      <c r="E17" s="152">
        <f>_3.06</f>
        <v>20000</v>
      </c>
      <c r="F17" s="72"/>
      <c r="G17" s="72"/>
      <c r="H17" s="504">
        <v>1</v>
      </c>
      <c r="I17" s="209">
        <f t="shared" si="0"/>
        <v>20000</v>
      </c>
      <c r="K17" s="34"/>
    </row>
    <row r="18" spans="1:11" ht="12.95" customHeight="1" x14ac:dyDescent="0.2">
      <c r="A18" s="349">
        <v>3</v>
      </c>
      <c r="B18" s="83" t="s">
        <v>19</v>
      </c>
      <c r="C18" s="84" t="s">
        <v>20</v>
      </c>
      <c r="D18" s="141"/>
      <c r="E18" s="152">
        <f>_3.07</f>
        <v>0</v>
      </c>
      <c r="F18" s="72"/>
      <c r="G18" s="72"/>
      <c r="H18" s="504">
        <v>0</v>
      </c>
      <c r="I18" s="209">
        <f t="shared" si="0"/>
        <v>0</v>
      </c>
      <c r="K18" s="34"/>
    </row>
    <row r="19" spans="1:11" ht="12.95" customHeight="1" x14ac:dyDescent="0.2">
      <c r="A19" s="349">
        <v>3</v>
      </c>
      <c r="B19" s="83" t="s">
        <v>21</v>
      </c>
      <c r="C19" s="84" t="s">
        <v>22</v>
      </c>
      <c r="D19" s="141"/>
      <c r="E19" s="152">
        <f>_3.08</f>
        <v>0</v>
      </c>
      <c r="F19" s="72"/>
      <c r="G19" s="72"/>
      <c r="H19" s="504">
        <v>1</v>
      </c>
      <c r="I19" s="210">
        <f t="shared" si="0"/>
        <v>0</v>
      </c>
      <c r="K19" s="34"/>
    </row>
    <row r="20" spans="1:11" ht="3.95" customHeight="1" x14ac:dyDescent="0.2">
      <c r="C20" s="1"/>
      <c r="D20" s="139"/>
      <c r="E20" s="126"/>
      <c r="H20" s="506"/>
      <c r="I20" s="126"/>
      <c r="K20" s="158"/>
    </row>
    <row r="21" spans="1:11" s="10" customFormat="1" ht="12.75" customHeight="1" x14ac:dyDescent="0.2">
      <c r="A21" s="645">
        <v>4</v>
      </c>
      <c r="B21" s="645"/>
      <c r="C21" s="76" t="s">
        <v>23</v>
      </c>
      <c r="D21" s="138">
        <f>E21/$E$33</f>
        <v>0.19700000000000001</v>
      </c>
      <c r="E21" s="153">
        <f>_4</f>
        <v>800000</v>
      </c>
      <c r="F21" s="72"/>
      <c r="G21" s="72"/>
      <c r="H21" s="504">
        <v>1</v>
      </c>
      <c r="I21" s="153">
        <f>E21*H21</f>
        <v>800000</v>
      </c>
      <c r="K21" s="34"/>
    </row>
    <row r="22" spans="1:11" ht="3.95" customHeight="1" x14ac:dyDescent="0.2">
      <c r="B22" s="4"/>
      <c r="C22" s="1"/>
      <c r="D22" s="139"/>
      <c r="E22" s="126"/>
      <c r="H22" s="503"/>
      <c r="I22" s="126"/>
      <c r="K22" s="33"/>
    </row>
    <row r="23" spans="1:11" s="11" customFormat="1" ht="12.95" customHeight="1" x14ac:dyDescent="0.2">
      <c r="A23" s="645">
        <v>5</v>
      </c>
      <c r="B23" s="645"/>
      <c r="C23" s="76" t="s">
        <v>24</v>
      </c>
      <c r="D23" s="138">
        <f>E23/$E$33</f>
        <v>2.5000000000000001E-2</v>
      </c>
      <c r="E23" s="155">
        <f>_5</f>
        <v>100000</v>
      </c>
      <c r="F23" s="72"/>
      <c r="G23" s="72"/>
      <c r="H23" s="504">
        <v>0</v>
      </c>
      <c r="I23" s="153">
        <f>E23*H23</f>
        <v>0</v>
      </c>
      <c r="K23" s="34"/>
    </row>
    <row r="24" spans="1:11" ht="3.95" customHeight="1" x14ac:dyDescent="0.2">
      <c r="C24" s="1"/>
      <c r="D24" s="139"/>
      <c r="E24" s="126"/>
      <c r="H24" s="503"/>
      <c r="I24" s="126"/>
      <c r="K24" s="34"/>
    </row>
    <row r="25" spans="1:11" s="10" customFormat="1" ht="12.95" customHeight="1" x14ac:dyDescent="0.2">
      <c r="A25" s="645">
        <v>6</v>
      </c>
      <c r="B25" s="645"/>
      <c r="C25" s="76" t="s">
        <v>28</v>
      </c>
      <c r="D25" s="138">
        <f>E25/$E$33</f>
        <v>1.6E-2</v>
      </c>
      <c r="E25" s="153">
        <f>_6</f>
        <v>65000</v>
      </c>
      <c r="F25" s="72"/>
      <c r="G25" s="72"/>
      <c r="H25" s="504">
        <v>0</v>
      </c>
      <c r="I25" s="153">
        <f>E25*H25</f>
        <v>0</v>
      </c>
      <c r="K25" s="34"/>
    </row>
    <row r="26" spans="1:11" ht="3.95" customHeight="1" x14ac:dyDescent="0.2">
      <c r="B26" s="13"/>
      <c r="C26" s="1"/>
      <c r="D26" s="142"/>
      <c r="E26" s="126"/>
      <c r="H26" s="503"/>
      <c r="I26" s="126"/>
      <c r="K26" s="34"/>
    </row>
    <row r="27" spans="1:11" s="11" customFormat="1" ht="12.95" customHeight="1" x14ac:dyDescent="0.2">
      <c r="A27" s="645">
        <v>7</v>
      </c>
      <c r="B27" s="645"/>
      <c r="C27" s="76" t="s">
        <v>145</v>
      </c>
      <c r="D27" s="138">
        <f>E27/$E$33</f>
        <v>0.185</v>
      </c>
      <c r="E27" s="153">
        <f>_7</f>
        <v>750000</v>
      </c>
      <c r="F27" s="72"/>
      <c r="G27" s="72"/>
      <c r="H27" s="504">
        <v>0</v>
      </c>
      <c r="I27" s="153">
        <f>E27*H27</f>
        <v>0</v>
      </c>
      <c r="K27" s="34"/>
    </row>
    <row r="28" spans="1:11" ht="3.95" customHeight="1" x14ac:dyDescent="0.2">
      <c r="C28" s="1"/>
      <c r="D28" s="142"/>
      <c r="E28" s="126"/>
      <c r="H28" s="503"/>
      <c r="I28" s="126"/>
      <c r="K28" s="34"/>
    </row>
    <row r="29" spans="1:11" s="11" customFormat="1" ht="12.95" customHeight="1" x14ac:dyDescent="0.2">
      <c r="A29" s="645">
        <v>8</v>
      </c>
      <c r="B29" s="645"/>
      <c r="C29" s="76" t="s">
        <v>202</v>
      </c>
      <c r="D29" s="138">
        <f>E29/$E$33</f>
        <v>1E-3</v>
      </c>
      <c r="E29" s="153">
        <f>_8</f>
        <v>3600</v>
      </c>
      <c r="F29" s="72"/>
      <c r="G29" s="72"/>
      <c r="H29" s="504">
        <v>0</v>
      </c>
      <c r="I29" s="153">
        <f>E29*H29</f>
        <v>0</v>
      </c>
      <c r="K29" s="34"/>
    </row>
    <row r="30" spans="1:11" ht="3.95" customHeight="1" x14ac:dyDescent="0.2">
      <c r="C30" s="1"/>
      <c r="D30" s="142"/>
      <c r="E30" s="126"/>
      <c r="H30" s="506"/>
      <c r="I30" s="126"/>
      <c r="K30" s="158"/>
    </row>
    <row r="31" spans="1:11" s="11" customFormat="1" ht="12.95" customHeight="1" x14ac:dyDescent="0.2">
      <c r="A31" s="645">
        <v>9</v>
      </c>
      <c r="B31" s="645"/>
      <c r="C31" s="76" t="s">
        <v>31</v>
      </c>
      <c r="D31" s="138">
        <f>E31/$E$33</f>
        <v>5.5E-2</v>
      </c>
      <c r="E31" s="153">
        <f>_9</f>
        <v>225000</v>
      </c>
      <c r="F31" s="72"/>
      <c r="G31" s="72"/>
      <c r="H31" s="504">
        <v>0.1</v>
      </c>
      <c r="I31" s="153">
        <f>E31*H31</f>
        <v>22500</v>
      </c>
      <c r="K31" s="34"/>
    </row>
    <row r="32" spans="1:11" ht="12" customHeight="1" x14ac:dyDescent="0.2">
      <c r="B32" s="13"/>
      <c r="C32" s="5"/>
      <c r="D32" s="32"/>
      <c r="I32" s="1"/>
      <c r="K32" s="1"/>
    </row>
    <row r="33" spans="1:12" ht="12.95" customHeight="1" x14ac:dyDescent="0.25">
      <c r="A33" s="113" t="s">
        <v>56</v>
      </c>
      <c r="B33" s="114"/>
      <c r="C33" s="114"/>
      <c r="D33" s="116">
        <f>SUM(D7:D31)</f>
        <v>1</v>
      </c>
      <c r="E33" s="90">
        <f>_EK</f>
        <v>4058600</v>
      </c>
      <c r="F33" s="64"/>
      <c r="G33" s="64"/>
      <c r="H33" s="182"/>
      <c r="I33" s="22"/>
      <c r="K33" s="22"/>
    </row>
    <row r="34" spans="1:12" ht="3.95" customHeight="1" x14ac:dyDescent="0.25">
      <c r="B34" s="265"/>
      <c r="D34" s="32"/>
      <c r="F34" s="9"/>
      <c r="G34" s="9"/>
      <c r="I34" s="1"/>
      <c r="K34" s="22"/>
    </row>
    <row r="35" spans="1:12" ht="12.95" customHeight="1" x14ac:dyDescent="0.2">
      <c r="A35" s="645"/>
      <c r="B35" s="645"/>
      <c r="C35" s="75" t="s">
        <v>57</v>
      </c>
      <c r="D35" s="138"/>
      <c r="E35" s="153">
        <f>_mvB</f>
        <v>120000</v>
      </c>
      <c r="F35" s="72"/>
      <c r="G35" s="72"/>
      <c r="H35" s="105">
        <v>1</v>
      </c>
      <c r="I35" s="153">
        <f>E35*H35</f>
        <v>120000</v>
      </c>
      <c r="K35" s="22"/>
    </row>
    <row r="36" spans="1:12" ht="6" customHeight="1" x14ac:dyDescent="0.2">
      <c r="F36" s="32"/>
      <c r="H36" s="8"/>
      <c r="I36" s="9"/>
    </row>
    <row r="37" spans="1:12" s="14" customFormat="1" ht="12.95" customHeight="1" x14ac:dyDescent="0.3">
      <c r="A37" s="198" t="s">
        <v>58</v>
      </c>
      <c r="B37" s="199"/>
      <c r="C37" s="199"/>
      <c r="D37" s="199"/>
      <c r="E37" s="205"/>
      <c r="F37" s="205"/>
      <c r="G37" s="205"/>
      <c r="H37" s="206"/>
      <c r="I37" s="207">
        <f>SUM(I7:I35)</f>
        <v>3047500</v>
      </c>
      <c r="K37" s="607"/>
    </row>
    <row r="38" spans="1:12" ht="6" customHeight="1" x14ac:dyDescent="0.2">
      <c r="A38" s="163"/>
      <c r="B38" s="163"/>
      <c r="C38" s="163"/>
      <c r="D38" s="163"/>
      <c r="E38" s="163"/>
      <c r="F38" s="163"/>
      <c r="G38" s="163"/>
      <c r="H38" s="8"/>
      <c r="I38" s="183"/>
    </row>
    <row r="39" spans="1:12" ht="12.75" customHeight="1" x14ac:dyDescent="0.2">
      <c r="A39" s="161" t="s">
        <v>210</v>
      </c>
      <c r="B39" s="161"/>
      <c r="C39" s="161"/>
      <c r="D39" s="162"/>
      <c r="E39" s="162"/>
      <c r="F39" s="162"/>
      <c r="G39" s="162"/>
      <c r="H39" s="161"/>
      <c r="I39" s="267"/>
      <c r="K39" s="164"/>
    </row>
    <row r="40" spans="1:12" ht="3.95" customHeight="1" x14ac:dyDescent="0.2">
      <c r="A40" s="163"/>
      <c r="B40" s="163"/>
      <c r="C40" s="163"/>
      <c r="D40" s="163"/>
      <c r="E40" s="163"/>
      <c r="F40" s="163"/>
      <c r="G40" s="8"/>
      <c r="H40" s="183"/>
      <c r="J40" s="183"/>
    </row>
    <row r="41" spans="1:12" ht="12.75" customHeight="1" x14ac:dyDescent="0.2">
      <c r="A41" s="164" t="s">
        <v>106</v>
      </c>
      <c r="B41" s="163"/>
      <c r="C41" s="163"/>
      <c r="D41" s="163"/>
      <c r="E41" s="163"/>
      <c r="F41" s="163"/>
      <c r="H41" s="8"/>
      <c r="I41" s="183"/>
      <c r="J41" s="183"/>
    </row>
    <row r="42" spans="1:12" ht="12.75" customHeight="1" x14ac:dyDescent="0.2">
      <c r="A42" s="18"/>
      <c r="B42" s="18"/>
      <c r="C42" s="18"/>
      <c r="E42" s="165" t="s">
        <v>60</v>
      </c>
      <c r="F42" s="166" t="s">
        <v>61</v>
      </c>
      <c r="H42" s="653" t="s">
        <v>62</v>
      </c>
      <c r="I42" s="653"/>
      <c r="J42" s="245"/>
      <c r="K42" s="248"/>
    </row>
    <row r="43" spans="1:12" ht="12.75" customHeight="1" x14ac:dyDescent="0.2">
      <c r="B43" s="19" t="s">
        <v>63</v>
      </c>
      <c r="C43" s="41"/>
      <c r="D43" s="35"/>
      <c r="E43" s="118">
        <v>19</v>
      </c>
      <c r="F43" s="167" t="s">
        <v>129</v>
      </c>
      <c r="H43" s="492"/>
      <c r="I43" s="493"/>
      <c r="J43" s="245"/>
      <c r="K43" s="248"/>
    </row>
    <row r="44" spans="1:12" ht="12.75" customHeight="1" x14ac:dyDescent="0.2">
      <c r="B44" s="20" t="s">
        <v>65</v>
      </c>
      <c r="C44" s="42"/>
      <c r="D44" s="36"/>
      <c r="E44" s="119">
        <v>1</v>
      </c>
      <c r="F44" s="168" t="s">
        <v>66</v>
      </c>
      <c r="H44" s="494"/>
      <c r="I44" s="495"/>
      <c r="J44" s="245"/>
      <c r="K44" s="248"/>
      <c r="L44" s="635"/>
    </row>
    <row r="45" spans="1:12" ht="12.75" customHeight="1" x14ac:dyDescent="0.2">
      <c r="B45" s="20" t="s">
        <v>67</v>
      </c>
      <c r="C45" s="42"/>
      <c r="D45" s="36"/>
      <c r="E45" s="119">
        <v>1</v>
      </c>
      <c r="F45" s="168" t="s">
        <v>66</v>
      </c>
      <c r="H45" s="494"/>
      <c r="I45" s="495"/>
      <c r="J45" s="245"/>
      <c r="K45" s="248"/>
    </row>
    <row r="46" spans="1:12" ht="12.75" customHeight="1" x14ac:dyDescent="0.2">
      <c r="B46" s="20" t="s">
        <v>68</v>
      </c>
      <c r="C46" s="36"/>
      <c r="D46" s="36"/>
      <c r="E46" s="119">
        <v>1</v>
      </c>
      <c r="F46" s="168" t="s">
        <v>66</v>
      </c>
      <c r="H46" s="496"/>
      <c r="I46" s="497"/>
      <c r="J46" s="245"/>
      <c r="K46" s="248"/>
    </row>
    <row r="47" spans="1:12" ht="4.5" customHeight="1" x14ac:dyDescent="0.2">
      <c r="A47" s="18"/>
      <c r="B47" s="18"/>
      <c r="C47" s="18"/>
      <c r="E47" s="169"/>
      <c r="F47" s="169"/>
      <c r="G47" s="8"/>
      <c r="H47" s="495"/>
      <c r="I47" s="495"/>
      <c r="J47" s="245"/>
      <c r="K47" s="248"/>
    </row>
    <row r="48" spans="1:12" ht="12.75" customHeight="1" x14ac:dyDescent="0.2">
      <c r="A48" s="18"/>
      <c r="B48" s="18"/>
      <c r="C48" s="437" t="s">
        <v>130</v>
      </c>
      <c r="D48" s="434"/>
      <c r="E48" s="119">
        <v>0</v>
      </c>
      <c r="F48" s="168" t="s">
        <v>70</v>
      </c>
      <c r="H48" s="494"/>
      <c r="I48" s="495"/>
      <c r="J48" s="245"/>
      <c r="K48" s="248"/>
    </row>
    <row r="49" spans="1:11" ht="12.75" customHeight="1" x14ac:dyDescent="0.2">
      <c r="A49" s="18"/>
      <c r="B49" s="18"/>
      <c r="C49" s="437" t="s">
        <v>71</v>
      </c>
      <c r="D49" s="434"/>
      <c r="E49" s="119">
        <v>0</v>
      </c>
      <c r="F49" s="168" t="s">
        <v>72</v>
      </c>
      <c r="H49" s="496"/>
      <c r="I49" s="497"/>
      <c r="J49" s="245"/>
      <c r="K49" s="248"/>
    </row>
    <row r="50" spans="1:11" ht="4.5" customHeight="1" x14ac:dyDescent="0.2">
      <c r="A50" s="18"/>
      <c r="B50" s="18"/>
      <c r="C50" s="18"/>
      <c r="E50" s="169"/>
      <c r="F50" s="169"/>
      <c r="H50" s="245"/>
      <c r="J50" s="245"/>
      <c r="K50" s="248"/>
    </row>
    <row r="51" spans="1:11" ht="12.75" customHeight="1" x14ac:dyDescent="0.2">
      <c r="B51" s="18" t="s">
        <v>75</v>
      </c>
      <c r="C51" s="1"/>
      <c r="D51" s="170"/>
      <c r="E51" s="172">
        <f>SUM(E43:E47)</f>
        <v>22</v>
      </c>
      <c r="F51" s="171"/>
      <c r="H51" s="8"/>
      <c r="I51" s="245"/>
      <c r="J51" s="245"/>
      <c r="K51" s="1"/>
    </row>
    <row r="52" spans="1:11" ht="6" customHeight="1" x14ac:dyDescent="0.2">
      <c r="B52" s="18"/>
      <c r="C52" s="1"/>
      <c r="D52" s="171"/>
      <c r="E52" s="171"/>
      <c r="F52" s="171"/>
      <c r="H52" s="8"/>
      <c r="I52" s="245"/>
      <c r="J52" s="245"/>
      <c r="K52" s="1"/>
    </row>
    <row r="53" spans="1:11" ht="12.95" customHeight="1" x14ac:dyDescent="0.2">
      <c r="A53" s="164" t="s">
        <v>76</v>
      </c>
      <c r="B53" s="164"/>
      <c r="C53" s="163"/>
      <c r="D53" s="163"/>
      <c r="E53" s="163"/>
      <c r="F53" s="163"/>
      <c r="I53" s="268"/>
      <c r="J53" s="1"/>
    </row>
    <row r="54" spans="1:11" ht="4.5" customHeight="1" x14ac:dyDescent="0.2">
      <c r="A54" s="164"/>
      <c r="B54" s="164"/>
      <c r="C54" s="164"/>
      <c r="D54" s="164"/>
      <c r="J54" s="1"/>
    </row>
    <row r="55" spans="1:11" ht="12.75" customHeight="1" x14ac:dyDescent="0.2">
      <c r="A55" s="173" t="s">
        <v>211</v>
      </c>
      <c r="B55" s="173"/>
      <c r="C55" s="1"/>
      <c r="E55" s="211">
        <f>I37</f>
        <v>3047500</v>
      </c>
      <c r="I55" s="654" t="str">
        <f>IF(E55&lt;500000,"! gemäß BP.9 (3): Wenn die Bemessungsgrundlage niedriger ist als 500.000 €, sollte der Ermittlungsweg über Abschätzung des Büro- / Personalaufwandes gewählt werden","")</f>
        <v/>
      </c>
      <c r="J55" s="654"/>
    </row>
    <row r="56" spans="1:11" ht="12.75" customHeight="1" x14ac:dyDescent="0.2">
      <c r="A56" s="18" t="s">
        <v>212</v>
      </c>
      <c r="B56" s="18"/>
      <c r="C56" s="18"/>
      <c r="E56" s="633">
        <v>9500</v>
      </c>
      <c r="I56" s="654"/>
      <c r="J56" s="654"/>
    </row>
    <row r="57" spans="1:11" ht="12.75" customHeight="1" x14ac:dyDescent="0.2">
      <c r="A57" s="18" t="s">
        <v>213</v>
      </c>
      <c r="B57" s="18"/>
      <c r="C57" s="18"/>
      <c r="E57" s="121">
        <v>1000</v>
      </c>
      <c r="I57" s="654"/>
      <c r="J57" s="654"/>
    </row>
    <row r="58" spans="1:11" ht="8.1" customHeight="1" x14ac:dyDescent="0.2">
      <c r="A58" s="18"/>
      <c r="B58" s="18"/>
      <c r="C58" s="18"/>
      <c r="E58" s="103"/>
      <c r="I58" s="654"/>
      <c r="J58" s="654"/>
    </row>
    <row r="59" spans="1:11" ht="13.5" customHeight="1" x14ac:dyDescent="0.3">
      <c r="A59" s="23" t="s">
        <v>214</v>
      </c>
      <c r="B59" s="23"/>
      <c r="C59" s="23"/>
      <c r="E59" s="353">
        <f>0.057*E51+0.367</f>
        <v>1.62</v>
      </c>
      <c r="F59" s="122"/>
      <c r="I59" s="654"/>
      <c r="J59" s="654"/>
    </row>
    <row r="60" spans="1:11" ht="4.5" customHeight="1" x14ac:dyDescent="0.2">
      <c r="A60" s="18"/>
      <c r="B60" s="18"/>
      <c r="C60" s="18"/>
      <c r="E60" s="28"/>
      <c r="F60" s="122"/>
      <c r="I60" s="654"/>
      <c r="J60" s="654"/>
    </row>
    <row r="61" spans="1:11" s="110" customFormat="1" ht="18" customHeight="1" x14ac:dyDescent="0.25">
      <c r="A61" s="18" t="s">
        <v>215</v>
      </c>
      <c r="B61" s="18"/>
      <c r="C61" s="18"/>
      <c r="E61" s="232">
        <f>ROUND(439.8031*E55^(-0.476)*E59/100,6)</f>
        <v>5.8399999999999997E-3</v>
      </c>
      <c r="F61" s="563" t="s">
        <v>80</v>
      </c>
      <c r="I61" s="654"/>
      <c r="J61" s="654"/>
      <c r="K61" s="269"/>
    </row>
    <row r="62" spans="1:11" ht="13.5" customHeight="1" x14ac:dyDescent="0.25">
      <c r="A62" s="18" t="s">
        <v>193</v>
      </c>
      <c r="B62" s="18"/>
      <c r="C62" s="18"/>
      <c r="E62" s="274">
        <v>0</v>
      </c>
      <c r="F62" s="208"/>
      <c r="J62"/>
    </row>
    <row r="63" spans="1:11" ht="8.1" customHeight="1" x14ac:dyDescent="0.25">
      <c r="A63" s="18"/>
      <c r="B63" s="18"/>
      <c r="C63" s="18"/>
      <c r="G63" s="174"/>
      <c r="H63" s="174"/>
      <c r="J63"/>
    </row>
    <row r="64" spans="1:11" ht="28.5" customHeight="1" x14ac:dyDescent="0.2">
      <c r="A64" s="658" t="s">
        <v>216</v>
      </c>
      <c r="B64" s="658"/>
      <c r="C64" s="658"/>
      <c r="D64" s="658"/>
      <c r="E64" s="658"/>
      <c r="F64" s="275">
        <f>E55*E61/E56*E57*(1+E62)</f>
        <v>1873</v>
      </c>
      <c r="G64" s="613"/>
      <c r="J64" s="1"/>
    </row>
    <row r="65" spans="1:11" ht="12.95" customHeight="1" x14ac:dyDescent="0.2">
      <c r="A65" s="23"/>
      <c r="B65" s="18"/>
      <c r="C65" s="18"/>
      <c r="D65" s="337" t="s">
        <v>84</v>
      </c>
      <c r="E65" s="338" t="s">
        <v>60</v>
      </c>
      <c r="F65" s="177"/>
      <c r="J65" s="29"/>
    </row>
    <row r="66" spans="1:11" ht="12.75" customHeight="1" x14ac:dyDescent="0.25">
      <c r="A66" s="163" t="s">
        <v>139</v>
      </c>
      <c r="B66" s="163"/>
      <c r="C66" s="178"/>
      <c r="D66" s="339">
        <v>0.03</v>
      </c>
      <c r="E66" s="224">
        <v>0.03</v>
      </c>
      <c r="F66" s="234">
        <f t="shared" ref="F66:F75" si="1">$F$64*E66</f>
        <v>56</v>
      </c>
      <c r="J66"/>
    </row>
    <row r="67" spans="1:11" ht="12.75" customHeight="1" x14ac:dyDescent="0.25">
      <c r="A67" s="163" t="s">
        <v>86</v>
      </c>
      <c r="B67" s="163"/>
      <c r="C67" s="178"/>
      <c r="D67" s="339">
        <v>0.17</v>
      </c>
      <c r="E67" s="225">
        <v>0.17</v>
      </c>
      <c r="F67" s="234">
        <f t="shared" si="1"/>
        <v>318</v>
      </c>
      <c r="J67"/>
    </row>
    <row r="68" spans="1:11" ht="12.75" customHeight="1" x14ac:dyDescent="0.25">
      <c r="A68" s="163" t="s">
        <v>87</v>
      </c>
      <c r="B68" s="163"/>
      <c r="C68" s="178"/>
      <c r="D68" s="339">
        <v>0.35</v>
      </c>
      <c r="E68" s="225">
        <v>0.35</v>
      </c>
      <c r="F68" s="234">
        <f t="shared" si="1"/>
        <v>656</v>
      </c>
      <c r="J68"/>
    </row>
    <row r="69" spans="1:11" ht="12.75" customHeight="1" x14ac:dyDescent="0.25">
      <c r="A69" s="163" t="s">
        <v>88</v>
      </c>
      <c r="B69" s="163"/>
      <c r="C69" s="178"/>
      <c r="D69" s="339">
        <v>0.05</v>
      </c>
      <c r="E69" s="225">
        <v>0.05</v>
      </c>
      <c r="F69" s="234">
        <f t="shared" si="1"/>
        <v>94</v>
      </c>
      <c r="J69"/>
    </row>
    <row r="70" spans="1:11" ht="12.75" customHeight="1" x14ac:dyDescent="0.25">
      <c r="A70" s="163" t="s">
        <v>195</v>
      </c>
      <c r="B70" s="163"/>
      <c r="C70" s="178"/>
      <c r="D70" s="339">
        <v>0.27</v>
      </c>
      <c r="E70" s="225">
        <v>0.27</v>
      </c>
      <c r="F70" s="234">
        <f t="shared" si="1"/>
        <v>506</v>
      </c>
      <c r="J70"/>
    </row>
    <row r="71" spans="1:11" ht="12.75" customHeight="1" x14ac:dyDescent="0.25">
      <c r="A71" s="163" t="s">
        <v>90</v>
      </c>
      <c r="B71" s="163"/>
      <c r="C71" s="178"/>
      <c r="D71" s="339">
        <v>0.02</v>
      </c>
      <c r="E71" s="225">
        <v>0.02</v>
      </c>
      <c r="F71" s="234">
        <f t="shared" si="1"/>
        <v>37</v>
      </c>
      <c r="J71"/>
    </row>
    <row r="72" spans="1:11" ht="12.75" customHeight="1" x14ac:dyDescent="0.25">
      <c r="A72" s="163" t="s">
        <v>196</v>
      </c>
      <c r="B72" s="163"/>
      <c r="C72" s="178"/>
      <c r="D72" s="339">
        <v>0.02</v>
      </c>
      <c r="E72" s="225">
        <v>0.02</v>
      </c>
      <c r="F72" s="234">
        <f t="shared" si="1"/>
        <v>37</v>
      </c>
      <c r="J72"/>
    </row>
    <row r="73" spans="1:11" ht="12.75" customHeight="1" x14ac:dyDescent="0.2">
      <c r="A73" s="163" t="s">
        <v>113</v>
      </c>
      <c r="B73" s="163"/>
      <c r="C73" s="178"/>
      <c r="D73" s="339">
        <v>0.09</v>
      </c>
      <c r="E73" s="225">
        <v>0.09</v>
      </c>
      <c r="F73" s="508">
        <f t="shared" si="1"/>
        <v>169</v>
      </c>
      <c r="H73" s="656"/>
      <c r="I73" s="657"/>
      <c r="J73" s="614"/>
    </row>
    <row r="74" spans="1:11" ht="12.75" customHeight="1" x14ac:dyDescent="0.2">
      <c r="A74" s="163" t="s">
        <v>197</v>
      </c>
      <c r="B74" s="163"/>
      <c r="C74" s="178"/>
      <c r="D74" s="339">
        <v>0</v>
      </c>
      <c r="E74" s="225">
        <v>0</v>
      </c>
      <c r="F74" s="234">
        <f t="shared" si="1"/>
        <v>0</v>
      </c>
      <c r="H74" s="657"/>
      <c r="I74" s="657"/>
      <c r="J74" s="614"/>
    </row>
    <row r="75" spans="1:11" ht="12.75" customHeight="1" x14ac:dyDescent="0.2">
      <c r="A75" s="175" t="s">
        <v>115</v>
      </c>
      <c r="B75" s="175"/>
      <c r="C75" s="180"/>
      <c r="D75" s="340">
        <v>0</v>
      </c>
      <c r="E75" s="226">
        <v>0</v>
      </c>
      <c r="F75" s="235">
        <f t="shared" si="1"/>
        <v>0</v>
      </c>
      <c r="G75" s="45"/>
      <c r="H75" s="45"/>
      <c r="I75" s="45"/>
      <c r="J75" s="614"/>
    </row>
    <row r="76" spans="1:11" s="16" customFormat="1" ht="18.600000000000001" customHeight="1" x14ac:dyDescent="0.2">
      <c r="A76" s="381" t="s">
        <v>116</v>
      </c>
      <c r="B76" s="382"/>
      <c r="C76" s="449"/>
      <c r="D76" s="509">
        <f>SUM(D66:D75)</f>
        <v>1</v>
      </c>
      <c r="E76" s="383">
        <f>SUM(E66:E75)</f>
        <v>1</v>
      </c>
      <c r="F76" s="372">
        <f>SUM(F66:F75)</f>
        <v>1873</v>
      </c>
      <c r="G76" s="8"/>
      <c r="I76" s="499"/>
      <c r="J76" s="31"/>
    </row>
    <row r="77" spans="1:11" ht="12.75" customHeight="1" x14ac:dyDescent="0.25">
      <c r="A77" s="641" t="s">
        <v>198</v>
      </c>
      <c r="B77" s="163"/>
      <c r="C77" s="178"/>
      <c r="D77" s="339">
        <v>0.02</v>
      </c>
      <c r="E77" s="363">
        <v>0</v>
      </c>
      <c r="F77" s="183">
        <f>$F$64*E77</f>
        <v>0</v>
      </c>
      <c r="J77"/>
      <c r="K77" s="1"/>
    </row>
    <row r="78" spans="1:11" ht="12.75" customHeight="1" x14ac:dyDescent="0.25">
      <c r="A78" s="640" t="s">
        <v>257</v>
      </c>
      <c r="B78" s="175"/>
      <c r="C78" s="180"/>
      <c r="D78" s="340">
        <v>0.02</v>
      </c>
      <c r="E78" s="226">
        <v>0</v>
      </c>
      <c r="F78" s="184">
        <f>$F$64*E78</f>
        <v>0</v>
      </c>
      <c r="G78" s="45"/>
      <c r="H78" s="45"/>
      <c r="I78" s="45"/>
      <c r="J78"/>
      <c r="K78" s="1"/>
    </row>
    <row r="79" spans="1:11" ht="13.5" customHeight="1" x14ac:dyDescent="0.2">
      <c r="A79" s="649" t="s">
        <v>252</v>
      </c>
      <c r="B79" s="649"/>
      <c r="C79" s="649"/>
      <c r="D79" s="632">
        <f>SUM(D76:D78)</f>
        <v>1.04</v>
      </c>
      <c r="E79" s="501">
        <f>E76+SUM(E77:E78)</f>
        <v>1</v>
      </c>
      <c r="F79" s="342">
        <f>F76+SUM(F77:F78)</f>
        <v>1873</v>
      </c>
      <c r="G79" s="8"/>
      <c r="H79" s="8"/>
      <c r="I79" s="99">
        <f>F79</f>
        <v>1873</v>
      </c>
      <c r="J79" s="1"/>
      <c r="K79" s="22"/>
    </row>
    <row r="80" spans="1:11" ht="8.1" customHeight="1" x14ac:dyDescent="0.25">
      <c r="E80" s="108"/>
      <c r="G80" s="8"/>
      <c r="H80" s="8"/>
      <c r="I80"/>
      <c r="J80" s="1"/>
    </row>
    <row r="81" spans="1:14" ht="12.75" customHeight="1" x14ac:dyDescent="0.25">
      <c r="A81" s="33" t="s">
        <v>98</v>
      </c>
      <c r="E81" s="230">
        <v>0</v>
      </c>
      <c r="F81" s="231">
        <v>0</v>
      </c>
      <c r="G81" s="8"/>
      <c r="H81" s="8"/>
      <c r="I81" s="99">
        <f>E81*F81</f>
        <v>0</v>
      </c>
      <c r="J81" s="1"/>
      <c r="L81"/>
      <c r="M81"/>
      <c r="N81"/>
    </row>
    <row r="82" spans="1:14" ht="8.1" customHeight="1" x14ac:dyDescent="0.25">
      <c r="E82" s="108"/>
      <c r="G82" s="8"/>
      <c r="H82" s="8"/>
      <c r="I82"/>
      <c r="J82" s="1"/>
    </row>
    <row r="83" spans="1:14" s="23" customFormat="1" ht="12.75" x14ac:dyDescent="0.2">
      <c r="A83" s="94" t="s">
        <v>217</v>
      </c>
      <c r="B83" s="95"/>
      <c r="C83" s="96"/>
      <c r="D83" s="96"/>
      <c r="E83" s="109"/>
      <c r="F83" s="97"/>
      <c r="G83" s="97"/>
      <c r="H83" s="97"/>
      <c r="I83" s="99">
        <f>I79+I81</f>
        <v>1873</v>
      </c>
    </row>
    <row r="84" spans="1:14" s="23" customFormat="1" ht="4.5" customHeight="1" x14ac:dyDescent="0.2">
      <c r="B84" s="24"/>
      <c r="C84" s="25"/>
      <c r="D84" s="25"/>
      <c r="E84" s="219"/>
      <c r="F84" s="48"/>
      <c r="I84" s="91"/>
    </row>
    <row r="85" spans="1:14" s="23" customFormat="1" ht="12.75" x14ac:dyDescent="0.2">
      <c r="A85" s="49" t="s">
        <v>40</v>
      </c>
      <c r="B85" s="24"/>
      <c r="C85" s="25"/>
      <c r="D85" s="25"/>
      <c r="E85" s="220">
        <v>0.04</v>
      </c>
      <c r="F85" s="48"/>
      <c r="I85" s="92">
        <f>ROUND(I83*E85,2)</f>
        <v>75</v>
      </c>
    </row>
    <row r="86" spans="1:14" s="23" customFormat="1" ht="3" customHeight="1" x14ac:dyDescent="0.2">
      <c r="A86" s="50"/>
      <c r="B86" s="51"/>
      <c r="C86" s="52"/>
      <c r="D86" s="52"/>
      <c r="E86" s="221"/>
      <c r="F86" s="57"/>
      <c r="G86" s="50"/>
      <c r="H86" s="50"/>
      <c r="I86" s="93"/>
    </row>
    <row r="87" spans="1:14" s="23" customFormat="1" ht="3" customHeight="1" x14ac:dyDescent="0.2">
      <c r="B87" s="24"/>
      <c r="C87" s="25"/>
      <c r="D87" s="25"/>
      <c r="E87" s="222"/>
      <c r="F87" s="65"/>
      <c r="G87" s="59"/>
      <c r="H87" s="59"/>
      <c r="I87" s="91"/>
    </row>
    <row r="88" spans="1:14" s="23" customFormat="1" ht="12.75" x14ac:dyDescent="0.2">
      <c r="A88" s="53" t="s">
        <v>218</v>
      </c>
      <c r="B88" s="54"/>
      <c r="C88" s="55"/>
      <c r="D88" s="55"/>
      <c r="E88" s="219"/>
      <c r="F88" s="48"/>
      <c r="I88" s="92">
        <f>I83+I85</f>
        <v>1948</v>
      </c>
    </row>
    <row r="89" spans="1:14" s="23" customFormat="1" ht="12.75" x14ac:dyDescent="0.2">
      <c r="A89" s="23" t="s">
        <v>48</v>
      </c>
      <c r="B89" s="24"/>
      <c r="D89" s="25"/>
      <c r="E89" s="27">
        <v>0.2</v>
      </c>
      <c r="F89" s="27"/>
      <c r="I89" s="92">
        <f>ROUND(I88*E89,2)</f>
        <v>390</v>
      </c>
    </row>
    <row r="90" spans="1:14" s="23" customFormat="1" ht="3" customHeight="1" x14ac:dyDescent="0.2">
      <c r="B90" s="24"/>
      <c r="C90" s="25"/>
      <c r="D90" s="25"/>
      <c r="E90" s="219"/>
      <c r="F90" s="48"/>
      <c r="I90" s="91"/>
    </row>
    <row r="91" spans="1:14" s="23" customFormat="1" ht="12.75" x14ac:dyDescent="0.2">
      <c r="A91" s="191" t="s">
        <v>219</v>
      </c>
      <c r="B91" s="201"/>
      <c r="C91" s="192"/>
      <c r="D91" s="192"/>
      <c r="E91" s="195"/>
      <c r="F91" s="195"/>
      <c r="G91" s="193"/>
      <c r="H91" s="193"/>
      <c r="I91" s="196">
        <f>SUM(I87:I89)</f>
        <v>2338</v>
      </c>
    </row>
    <row r="92" spans="1:14" ht="5.0999999999999996" customHeight="1" x14ac:dyDescent="0.2"/>
    <row r="93" spans="1:14" ht="12.75" x14ac:dyDescent="0.2">
      <c r="A93" s="203" t="s">
        <v>120</v>
      </c>
      <c r="E93" s="270">
        <f>I88/E33</f>
        <v>4.8000000000000001E-4</v>
      </c>
    </row>
  </sheetData>
  <sheetProtection algorithmName="SHA-512" hashValue="ZQ7IOJV+f4Uy55O72rlVrHHDYD2JA0JQfakluhCMsDfqM0zYFydyvWxWa+TJ5pMlRnclWW7dGa6is/BKFAqgWw==" saltValue="4nKpmy+gSjrTzs47jZvQNg==" spinCount="100000" sheet="1" objects="1" scenarios="1"/>
  <mergeCells count="16">
    <mergeCell ref="A79:C79"/>
    <mergeCell ref="H2:I2"/>
    <mergeCell ref="I55:J61"/>
    <mergeCell ref="A21:B21"/>
    <mergeCell ref="A23:B23"/>
    <mergeCell ref="A25:B25"/>
    <mergeCell ref="A27:B27"/>
    <mergeCell ref="A29:B29"/>
    <mergeCell ref="A31:B31"/>
    <mergeCell ref="A35:B35"/>
    <mergeCell ref="H42:I42"/>
    <mergeCell ref="H73:I74"/>
    <mergeCell ref="A64:E64"/>
    <mergeCell ref="A7:B7"/>
    <mergeCell ref="A9:B9"/>
    <mergeCell ref="A11:B11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33" r:id="rId4" name="Scroll Bar 17">
              <controlPr locked="0" defaultSize="0" autoPict="0">
                <anchor moveWithCells="1">
                  <from>
                    <xdr:col>7</xdr:col>
                    <xdr:colOff>38100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5" name="Scroll Bar 18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19050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6" name="Scroll Bar 19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7" name="Scroll Bar 20">
              <controlPr locked="0"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8" name="Scroll Bar 21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9" name="Scroll Bar 22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0776-6703-4057-8A73-67014E7B0AE7}">
  <sheetPr>
    <tabColor theme="6"/>
  </sheetPr>
  <dimension ref="A1:M100"/>
  <sheetViews>
    <sheetView showGridLines="0" topLeftCell="A30" zoomScaleNormal="100" zoomScaleSheetLayoutView="85" zoomScalePageLayoutView="130" workbookViewId="0">
      <selection activeCell="F65" sqref="F65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 x14ac:dyDescent="0.2"/>
    <row r="2" spans="1:10" s="37" customFormat="1" ht="23.25" customHeight="1" x14ac:dyDescent="0.2">
      <c r="A2" s="107" t="s">
        <v>51</v>
      </c>
      <c r="E2" s="38"/>
      <c r="F2" s="38"/>
      <c r="G2" s="38"/>
      <c r="H2" s="644" t="s">
        <v>226</v>
      </c>
      <c r="I2" s="644"/>
      <c r="J2" s="43"/>
    </row>
    <row r="3" spans="1:10" s="10" customFormat="1" ht="0.95" customHeight="1" x14ac:dyDescent="0.25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 x14ac:dyDescent="0.25">
      <c r="I4" s="2"/>
      <c r="J4" s="2"/>
    </row>
    <row r="5" spans="1:10" s="10" customFormat="1" ht="12.95" customHeight="1" x14ac:dyDescent="0.25">
      <c r="D5" s="69" t="s">
        <v>2</v>
      </c>
      <c r="E5" s="30" t="s">
        <v>3</v>
      </c>
      <c r="F5" s="30"/>
      <c r="G5" s="30"/>
      <c r="H5" s="12" t="s">
        <v>52</v>
      </c>
      <c r="I5" s="89" t="s">
        <v>53</v>
      </c>
      <c r="J5" s="30"/>
    </row>
    <row r="6" spans="1:10" s="11" customFormat="1" ht="12.95" customHeight="1" x14ac:dyDescent="0.2">
      <c r="A6" s="645">
        <v>1</v>
      </c>
      <c r="B6" s="645"/>
      <c r="C6" s="76" t="s">
        <v>4</v>
      </c>
      <c r="D6" s="138">
        <f>E6/$E$32</f>
        <v>2E-3</v>
      </c>
      <c r="E6" s="318">
        <f>_1</f>
        <v>10000</v>
      </c>
      <c r="F6" s="72"/>
      <c r="G6" s="72"/>
      <c r="H6" s="281">
        <v>0</v>
      </c>
      <c r="I6" s="321">
        <f>E6*H6</f>
        <v>0</v>
      </c>
      <c r="J6" s="34"/>
    </row>
    <row r="7" spans="1:10" ht="3.95" customHeight="1" x14ac:dyDescent="0.2">
      <c r="B7" s="4"/>
      <c r="D7" s="139"/>
      <c r="E7" s="44"/>
      <c r="F7" s="110"/>
      <c r="G7" s="110"/>
      <c r="H7" s="283"/>
      <c r="I7" s="244"/>
      <c r="J7" s="44"/>
    </row>
    <row r="8" spans="1:10" s="11" customFormat="1" ht="12.95" customHeight="1" x14ac:dyDescent="0.2">
      <c r="A8" s="645">
        <v>2</v>
      </c>
      <c r="B8" s="645"/>
      <c r="C8" s="76" t="s">
        <v>5</v>
      </c>
      <c r="D8" s="138">
        <f>E8/$E$32</f>
        <v>0.37</v>
      </c>
      <c r="E8" s="318">
        <f>_2</f>
        <v>1500000</v>
      </c>
      <c r="F8" s="72"/>
      <c r="G8" s="72"/>
      <c r="H8" s="299">
        <v>0</v>
      </c>
      <c r="I8" s="321">
        <f>E8*H8</f>
        <v>0</v>
      </c>
      <c r="J8" s="34"/>
    </row>
    <row r="9" spans="1:10" ht="3.95" customHeight="1" x14ac:dyDescent="0.2">
      <c r="D9" s="139"/>
      <c r="E9" s="34"/>
      <c r="F9" s="110"/>
      <c r="G9" s="110"/>
      <c r="H9" s="283"/>
      <c r="I9" s="376"/>
      <c r="J9" s="34"/>
    </row>
    <row r="10" spans="1:10" s="10" customFormat="1" ht="12.95" customHeight="1" x14ac:dyDescent="0.2">
      <c r="A10" s="645">
        <v>3</v>
      </c>
      <c r="B10" s="645"/>
      <c r="C10" s="76" t="s">
        <v>6</v>
      </c>
      <c r="D10" s="138">
        <f>E10/$E$32</f>
        <v>0.14899999999999999</v>
      </c>
      <c r="E10" s="609">
        <f>_3</f>
        <v>605000</v>
      </c>
      <c r="F10" s="72"/>
      <c r="G10" s="72"/>
      <c r="H10" s="283"/>
      <c r="I10" s="376"/>
      <c r="J10" s="34"/>
    </row>
    <row r="11" spans="1:10" ht="12.95" customHeight="1" x14ac:dyDescent="0.2">
      <c r="A11" s="358">
        <v>3</v>
      </c>
      <c r="B11" s="79" t="s">
        <v>7</v>
      </c>
      <c r="C11" s="80" t="s">
        <v>8</v>
      </c>
      <c r="D11" s="140"/>
      <c r="E11" s="610">
        <f>_3.01</f>
        <v>120000</v>
      </c>
      <c r="F11" s="72"/>
      <c r="G11" s="72"/>
      <c r="H11" s="299">
        <v>1</v>
      </c>
      <c r="I11" s="377">
        <f t="shared" ref="I11:I18" si="0">E11*H11</f>
        <v>120000</v>
      </c>
      <c r="J11" s="34"/>
    </row>
    <row r="12" spans="1:10" ht="12.95" customHeight="1" x14ac:dyDescent="0.2">
      <c r="A12" s="359">
        <v>3</v>
      </c>
      <c r="B12" s="83" t="s">
        <v>9</v>
      </c>
      <c r="C12" s="84" t="s">
        <v>10</v>
      </c>
      <c r="D12" s="141"/>
      <c r="E12" s="611">
        <f>_3.02</f>
        <v>130000</v>
      </c>
      <c r="F12" s="72"/>
      <c r="G12" s="72"/>
      <c r="H12" s="299">
        <v>1</v>
      </c>
      <c r="I12" s="345">
        <f t="shared" si="0"/>
        <v>130000</v>
      </c>
      <c r="J12" s="34"/>
    </row>
    <row r="13" spans="1:10" ht="12.95" customHeight="1" x14ac:dyDescent="0.2">
      <c r="A13" s="359">
        <v>3</v>
      </c>
      <c r="B13" s="83" t="s">
        <v>11</v>
      </c>
      <c r="C13" s="84" t="s">
        <v>12</v>
      </c>
      <c r="D13" s="141"/>
      <c r="E13" s="516">
        <f>_3.03</f>
        <v>130000</v>
      </c>
      <c r="F13" s="72"/>
      <c r="G13" s="72"/>
      <c r="H13" s="299">
        <v>1</v>
      </c>
      <c r="I13" s="345">
        <f t="shared" si="0"/>
        <v>130000</v>
      </c>
      <c r="J13" s="34"/>
    </row>
    <row r="14" spans="1:10" ht="12.95" customHeight="1" x14ac:dyDescent="0.2">
      <c r="A14" s="359">
        <v>3</v>
      </c>
      <c r="B14" s="83" t="s">
        <v>13</v>
      </c>
      <c r="C14" s="84" t="s">
        <v>14</v>
      </c>
      <c r="D14" s="141"/>
      <c r="E14" s="516">
        <f>_3.04</f>
        <v>140000</v>
      </c>
      <c r="F14" s="72"/>
      <c r="G14" s="72"/>
      <c r="H14" s="299">
        <v>1</v>
      </c>
      <c r="I14" s="345">
        <f t="shared" si="0"/>
        <v>140000</v>
      </c>
      <c r="J14" s="34"/>
    </row>
    <row r="15" spans="1:10" ht="12.95" customHeight="1" x14ac:dyDescent="0.2">
      <c r="A15" s="359">
        <v>3</v>
      </c>
      <c r="B15" s="83" t="s">
        <v>15</v>
      </c>
      <c r="C15" s="84" t="s">
        <v>16</v>
      </c>
      <c r="D15" s="141"/>
      <c r="E15" s="516">
        <f>_3.05</f>
        <v>65000</v>
      </c>
      <c r="F15" s="72"/>
      <c r="G15" s="72"/>
      <c r="H15" s="299">
        <v>1</v>
      </c>
      <c r="I15" s="345">
        <f t="shared" si="0"/>
        <v>65000</v>
      </c>
      <c r="J15" s="34"/>
    </row>
    <row r="16" spans="1:10" ht="12.95" customHeight="1" x14ac:dyDescent="0.2">
      <c r="A16" s="359">
        <v>3</v>
      </c>
      <c r="B16" s="83" t="s">
        <v>17</v>
      </c>
      <c r="C16" s="84" t="s">
        <v>18</v>
      </c>
      <c r="D16" s="141"/>
      <c r="E16" s="516">
        <f>_3.06</f>
        <v>20000</v>
      </c>
      <c r="F16" s="72"/>
      <c r="G16" s="72"/>
      <c r="H16" s="299">
        <v>1</v>
      </c>
      <c r="I16" s="345">
        <f t="shared" si="0"/>
        <v>20000</v>
      </c>
      <c r="J16" s="34"/>
    </row>
    <row r="17" spans="1:10" ht="12.95" customHeight="1" x14ac:dyDescent="0.2">
      <c r="A17" s="359">
        <v>3</v>
      </c>
      <c r="B17" s="83" t="s">
        <v>19</v>
      </c>
      <c r="C17" s="84" t="s">
        <v>20</v>
      </c>
      <c r="D17" s="141"/>
      <c r="E17" s="516">
        <f>_3.07</f>
        <v>0</v>
      </c>
      <c r="F17" s="72"/>
      <c r="G17" s="72"/>
      <c r="H17" s="299">
        <v>0</v>
      </c>
      <c r="I17" s="345">
        <f t="shared" si="0"/>
        <v>0</v>
      </c>
      <c r="J17" s="34"/>
    </row>
    <row r="18" spans="1:10" ht="12.95" customHeight="1" x14ac:dyDescent="0.2">
      <c r="A18" s="359">
        <v>3</v>
      </c>
      <c r="B18" s="83" t="s">
        <v>21</v>
      </c>
      <c r="C18" s="84" t="s">
        <v>22</v>
      </c>
      <c r="D18" s="141"/>
      <c r="E18" s="516">
        <f>_3.08</f>
        <v>0</v>
      </c>
      <c r="F18" s="72"/>
      <c r="G18" s="72"/>
      <c r="H18" s="299">
        <v>1</v>
      </c>
      <c r="I18" s="378">
        <f t="shared" si="0"/>
        <v>0</v>
      </c>
      <c r="J18" s="34"/>
    </row>
    <row r="19" spans="1:10" ht="3.95" customHeight="1" x14ac:dyDescent="0.2">
      <c r="D19" s="139"/>
      <c r="E19" s="34"/>
      <c r="F19" s="110"/>
      <c r="G19" s="110"/>
      <c r="H19" s="295"/>
      <c r="I19" s="376"/>
      <c r="J19" s="158"/>
    </row>
    <row r="20" spans="1:10" s="10" customFormat="1" ht="12.75" customHeight="1" x14ac:dyDescent="0.2">
      <c r="A20" s="645">
        <v>4</v>
      </c>
      <c r="B20" s="645"/>
      <c r="C20" s="76" t="s">
        <v>23</v>
      </c>
      <c r="D20" s="138">
        <f>E20/$E$32</f>
        <v>0.19700000000000001</v>
      </c>
      <c r="E20" s="318">
        <f>_4</f>
        <v>800000</v>
      </c>
      <c r="F20" s="72"/>
      <c r="G20" s="72"/>
      <c r="H20" s="299">
        <v>0</v>
      </c>
      <c r="I20" s="321">
        <f>E20*H20</f>
        <v>0</v>
      </c>
      <c r="J20" s="34"/>
    </row>
    <row r="21" spans="1:10" ht="3.95" customHeight="1" x14ac:dyDescent="0.2">
      <c r="B21" s="4"/>
      <c r="D21" s="139"/>
      <c r="E21" s="34"/>
      <c r="F21" s="110"/>
      <c r="G21" s="110"/>
      <c r="H21" s="283"/>
      <c r="I21" s="376"/>
      <c r="J21" s="33"/>
    </row>
    <row r="22" spans="1:10" s="11" customFormat="1" ht="12.95" customHeight="1" x14ac:dyDescent="0.2">
      <c r="A22" s="645">
        <v>5</v>
      </c>
      <c r="B22" s="645"/>
      <c r="C22" s="76" t="s">
        <v>24</v>
      </c>
      <c r="D22" s="138">
        <f>E22/$E$32</f>
        <v>2.5000000000000001E-2</v>
      </c>
      <c r="E22" s="326">
        <f>_5</f>
        <v>100000</v>
      </c>
      <c r="F22" s="72"/>
      <c r="G22" s="72"/>
      <c r="H22" s="299">
        <v>0</v>
      </c>
      <c r="I22" s="321">
        <f>E22*H22</f>
        <v>0</v>
      </c>
      <c r="J22" s="34"/>
    </row>
    <row r="23" spans="1:10" ht="3.95" customHeight="1" x14ac:dyDescent="0.2">
      <c r="D23" s="139"/>
      <c r="E23" s="34"/>
      <c r="F23" s="110"/>
      <c r="G23" s="110"/>
      <c r="H23" s="283"/>
      <c r="I23" s="376"/>
      <c r="J23" s="34"/>
    </row>
    <row r="24" spans="1:10" s="10" customFormat="1" ht="12.95" customHeight="1" x14ac:dyDescent="0.2">
      <c r="A24" s="645">
        <v>6</v>
      </c>
      <c r="B24" s="645"/>
      <c r="C24" s="76" t="s">
        <v>28</v>
      </c>
      <c r="D24" s="138">
        <f>E24/$E$32</f>
        <v>1.6E-2</v>
      </c>
      <c r="E24" s="318">
        <f>_6</f>
        <v>65000</v>
      </c>
      <c r="F24" s="72"/>
      <c r="G24" s="72"/>
      <c r="H24" s="299">
        <v>0</v>
      </c>
      <c r="I24" s="321">
        <f>E24*H24</f>
        <v>0</v>
      </c>
      <c r="J24" s="34"/>
    </row>
    <row r="25" spans="1:10" ht="3.95" customHeight="1" x14ac:dyDescent="0.2">
      <c r="B25" s="13"/>
      <c r="D25" s="142"/>
      <c r="E25" s="34"/>
      <c r="F25" s="110"/>
      <c r="G25" s="110"/>
      <c r="H25" s="283"/>
      <c r="I25" s="376"/>
      <c r="J25" s="34"/>
    </row>
    <row r="26" spans="1:10" s="11" customFormat="1" ht="12.95" customHeight="1" x14ac:dyDescent="0.2">
      <c r="A26" s="645">
        <v>7</v>
      </c>
      <c r="B26" s="645"/>
      <c r="C26" s="76" t="s">
        <v>145</v>
      </c>
      <c r="D26" s="138">
        <f>E26/$E$32</f>
        <v>0.185</v>
      </c>
      <c r="E26" s="318">
        <f>_7</f>
        <v>750000</v>
      </c>
      <c r="F26" s="72"/>
      <c r="G26" s="72"/>
      <c r="H26" s="299">
        <v>0</v>
      </c>
      <c r="I26" s="321">
        <f>E26*H26</f>
        <v>0</v>
      </c>
      <c r="J26" s="34"/>
    </row>
    <row r="27" spans="1:10" ht="3.95" customHeight="1" x14ac:dyDescent="0.2">
      <c r="D27" s="142"/>
      <c r="E27" s="34"/>
      <c r="F27" s="110"/>
      <c r="G27" s="110"/>
      <c r="H27" s="283"/>
      <c r="I27" s="376"/>
      <c r="J27" s="34"/>
    </row>
    <row r="28" spans="1:10" s="11" customFormat="1" ht="12.95" customHeight="1" x14ac:dyDescent="0.2">
      <c r="A28" s="645">
        <v>8</v>
      </c>
      <c r="B28" s="645"/>
      <c r="C28" s="76" t="s">
        <v>30</v>
      </c>
      <c r="D28" s="138">
        <f>E28/$E$32</f>
        <v>1E-3</v>
      </c>
      <c r="E28" s="318">
        <f>_8</f>
        <v>3600</v>
      </c>
      <c r="F28" s="72"/>
      <c r="G28" s="72"/>
      <c r="H28" s="299">
        <v>0</v>
      </c>
      <c r="I28" s="321">
        <f>E28*H28</f>
        <v>0</v>
      </c>
      <c r="J28" s="34"/>
    </row>
    <row r="29" spans="1:10" ht="3.95" customHeight="1" x14ac:dyDescent="0.2">
      <c r="D29" s="142"/>
      <c r="E29" s="34"/>
      <c r="F29" s="110"/>
      <c r="G29" s="110"/>
      <c r="H29" s="295"/>
      <c r="I29" s="376"/>
      <c r="J29" s="158"/>
    </row>
    <row r="30" spans="1:10" s="11" customFormat="1" ht="12.95" customHeight="1" x14ac:dyDescent="0.2">
      <c r="A30" s="645">
        <v>9</v>
      </c>
      <c r="B30" s="645"/>
      <c r="C30" s="76" t="s">
        <v>31</v>
      </c>
      <c r="D30" s="138">
        <f>E30/$E$32</f>
        <v>5.5E-2</v>
      </c>
      <c r="E30" s="318">
        <f>_9</f>
        <v>225000</v>
      </c>
      <c r="F30" s="72"/>
      <c r="G30" s="72"/>
      <c r="H30" s="299">
        <v>0.05</v>
      </c>
      <c r="I30" s="321">
        <f>E30*H30</f>
        <v>11250</v>
      </c>
      <c r="J30" s="34"/>
    </row>
    <row r="31" spans="1:10" ht="9.9499999999999993" customHeight="1" x14ac:dyDescent="0.2">
      <c r="B31" s="13"/>
      <c r="D31" s="32"/>
      <c r="E31" s="22"/>
      <c r="F31" s="110"/>
      <c r="G31" s="110"/>
      <c r="H31" s="242"/>
      <c r="I31" s="3"/>
      <c r="J31" s="1"/>
    </row>
    <row r="32" spans="1:10" ht="12.95" customHeight="1" x14ac:dyDescent="0.2">
      <c r="A32" s="113" t="s">
        <v>56</v>
      </c>
      <c r="B32" s="114"/>
      <c r="C32" s="114"/>
      <c r="D32" s="71">
        <f>SUM(D6:D30)</f>
        <v>1</v>
      </c>
      <c r="E32" s="320">
        <f>SUM(E6+E8+E10+E20+E22+E24+E26+E28+E30)</f>
        <v>4058600</v>
      </c>
      <c r="F32" s="72"/>
      <c r="G32" s="72"/>
      <c r="H32" s="72"/>
      <c r="I32" s="301">
        <f>SUM(I6:I30)</f>
        <v>616250</v>
      </c>
      <c r="J32" s="22"/>
    </row>
    <row r="33" spans="1:10" ht="3.95" customHeight="1" x14ac:dyDescent="0.25">
      <c r="B33" s="265"/>
      <c r="D33" s="32"/>
      <c r="E33" s="22"/>
      <c r="F33" s="110"/>
      <c r="G33" s="110"/>
      <c r="H33" s="247"/>
      <c r="I33" s="269"/>
      <c r="J33" s="1"/>
    </row>
    <row r="34" spans="1:10" s="10" customFormat="1" ht="12.95" customHeight="1" x14ac:dyDescent="0.2">
      <c r="A34" s="302"/>
      <c r="B34" s="75" t="s">
        <v>34</v>
      </c>
      <c r="C34" s="76"/>
      <c r="D34" s="138"/>
      <c r="E34" s="318">
        <f>_mvB</f>
        <v>120000</v>
      </c>
      <c r="F34" s="72"/>
      <c r="G34" s="72"/>
      <c r="H34" s="299">
        <v>1</v>
      </c>
      <c r="I34" s="321">
        <f>E34*H34</f>
        <v>120000</v>
      </c>
    </row>
    <row r="35" spans="1:10" ht="6" customHeight="1" x14ac:dyDescent="0.2">
      <c r="D35" s="32"/>
    </row>
    <row r="36" spans="1:10" s="14" customFormat="1" ht="12.95" customHeight="1" x14ac:dyDescent="0.3">
      <c r="A36" s="198" t="s">
        <v>58</v>
      </c>
      <c r="B36" s="199"/>
      <c r="C36" s="199"/>
      <c r="D36" s="205"/>
      <c r="E36" s="205"/>
      <c r="F36" s="205"/>
      <c r="G36" s="205"/>
      <c r="H36" s="206"/>
      <c r="I36" s="304">
        <f>I32+I34</f>
        <v>736250</v>
      </c>
      <c r="J36" s="607"/>
    </row>
    <row r="37" spans="1:10" ht="6" customHeight="1" x14ac:dyDescent="0.2">
      <c r="A37" s="163"/>
      <c r="B37" s="163"/>
      <c r="C37" s="163"/>
      <c r="D37" s="163"/>
      <c r="E37" s="163"/>
      <c r="F37" s="163"/>
      <c r="G37" s="163"/>
      <c r="I37" s="183"/>
    </row>
    <row r="38" spans="1:10" ht="12.75" customHeight="1" x14ac:dyDescent="0.2">
      <c r="A38" s="161" t="s">
        <v>38</v>
      </c>
      <c r="B38" s="161"/>
      <c r="C38" s="162"/>
      <c r="D38" s="162"/>
      <c r="E38" s="162"/>
      <c r="F38" s="162"/>
      <c r="G38" s="162"/>
      <c r="H38" s="161"/>
      <c r="I38" s="267"/>
      <c r="J38" s="164"/>
    </row>
    <row r="39" spans="1:10" ht="2.1" customHeight="1" x14ac:dyDescent="0.2">
      <c r="A39" s="163"/>
      <c r="B39" s="163"/>
      <c r="C39" s="163"/>
      <c r="D39" s="163"/>
      <c r="E39" s="163"/>
      <c r="F39" s="163"/>
      <c r="G39" s="163"/>
      <c r="I39" s="183"/>
    </row>
    <row r="40" spans="1:10" ht="12.75" customHeight="1" x14ac:dyDescent="0.2">
      <c r="A40" s="164" t="s">
        <v>106</v>
      </c>
      <c r="B40" s="163"/>
      <c r="C40" s="163"/>
      <c r="D40" s="163"/>
      <c r="E40" s="163"/>
      <c r="F40" s="163"/>
      <c r="G40" s="163"/>
      <c r="I40" s="183"/>
    </row>
    <row r="41" spans="1:10" ht="12.75" customHeight="1" x14ac:dyDescent="0.2">
      <c r="A41" s="18"/>
      <c r="B41" s="18"/>
      <c r="E41" s="165" t="s">
        <v>60</v>
      </c>
      <c r="F41" s="166" t="s">
        <v>61</v>
      </c>
      <c r="G41" s="166"/>
      <c r="H41" s="647" t="s">
        <v>107</v>
      </c>
      <c r="I41" s="647"/>
      <c r="J41" s="40"/>
    </row>
    <row r="42" spans="1:10" ht="12.75" customHeight="1" x14ac:dyDescent="0.2">
      <c r="B42" s="19" t="s">
        <v>63</v>
      </c>
      <c r="C42" s="35"/>
      <c r="D42" s="35"/>
      <c r="E42" s="118">
        <v>22</v>
      </c>
      <c r="F42" s="167" t="s">
        <v>129</v>
      </c>
      <c r="G42" s="166"/>
      <c r="H42" s="306"/>
      <c r="I42" s="307"/>
      <c r="J42" s="40"/>
    </row>
    <row r="43" spans="1:10" ht="12.75" customHeight="1" x14ac:dyDescent="0.2">
      <c r="B43" s="20" t="s">
        <v>65</v>
      </c>
      <c r="C43" s="36"/>
      <c r="D43" s="36"/>
      <c r="E43" s="119">
        <v>2</v>
      </c>
      <c r="F43" s="168" t="s">
        <v>66</v>
      </c>
      <c r="G43" s="166"/>
      <c r="H43" s="308"/>
      <c r="I43" s="309"/>
      <c r="J43" s="40"/>
    </row>
    <row r="44" spans="1:10" ht="12.75" customHeight="1" x14ac:dyDescent="0.2">
      <c r="B44" s="20" t="s">
        <v>67</v>
      </c>
      <c r="C44" s="36"/>
      <c r="D44" s="36"/>
      <c r="E44" s="119">
        <v>1</v>
      </c>
      <c r="F44" s="168" t="s">
        <v>66</v>
      </c>
      <c r="G44" s="166"/>
      <c r="H44" s="308"/>
      <c r="I44" s="309"/>
      <c r="J44" s="40"/>
    </row>
    <row r="45" spans="1:10" ht="12.75" customHeight="1" x14ac:dyDescent="0.2">
      <c r="B45" s="20" t="s">
        <v>68</v>
      </c>
      <c r="C45" s="36"/>
      <c r="D45" s="36"/>
      <c r="E45" s="119">
        <v>1</v>
      </c>
      <c r="F45" s="168" t="s">
        <v>66</v>
      </c>
      <c r="G45" s="166"/>
      <c r="H45" s="308"/>
      <c r="I45" s="309"/>
      <c r="J45" s="40"/>
    </row>
    <row r="46" spans="1:10" ht="4.5" customHeight="1" x14ac:dyDescent="0.2">
      <c r="A46" s="18"/>
      <c r="B46" s="18"/>
      <c r="C46" s="171"/>
      <c r="D46" s="171"/>
      <c r="E46" s="171"/>
      <c r="F46" s="171"/>
      <c r="G46" s="171"/>
      <c r="H46" s="306"/>
      <c r="I46" s="307"/>
      <c r="J46" s="1"/>
    </row>
    <row r="47" spans="1:10" ht="12.75" customHeight="1" x14ac:dyDescent="0.2">
      <c r="B47" s="566"/>
      <c r="C47" s="36" t="s">
        <v>176</v>
      </c>
      <c r="D47" s="36"/>
      <c r="E47" s="119">
        <v>0</v>
      </c>
      <c r="F47" s="168" t="s">
        <v>72</v>
      </c>
      <c r="G47" s="166"/>
      <c r="H47" s="331"/>
      <c r="I47" s="332"/>
      <c r="J47" s="40"/>
    </row>
    <row r="48" spans="1:10" ht="12.75" customHeight="1" x14ac:dyDescent="0.2">
      <c r="B48" s="566"/>
      <c r="C48" s="36" t="s">
        <v>71</v>
      </c>
      <c r="D48" s="36"/>
      <c r="E48" s="119">
        <v>0</v>
      </c>
      <c r="F48" s="168" t="s">
        <v>72</v>
      </c>
      <c r="G48" s="166"/>
      <c r="H48" s="308"/>
      <c r="I48" s="333"/>
      <c r="J48" s="40"/>
    </row>
    <row r="49" spans="1:10" ht="12.75" customHeight="1" x14ac:dyDescent="0.2">
      <c r="B49" s="566"/>
      <c r="C49" s="36" t="s">
        <v>73</v>
      </c>
      <c r="D49" s="36"/>
      <c r="E49" s="119">
        <v>0</v>
      </c>
      <c r="F49" s="168" t="s">
        <v>72</v>
      </c>
      <c r="G49" s="166"/>
      <c r="H49" s="308"/>
      <c r="I49" s="333"/>
      <c r="J49" s="40"/>
    </row>
    <row r="50" spans="1:10" ht="3.95" customHeight="1" x14ac:dyDescent="0.2">
      <c r="B50" s="18"/>
      <c r="C50" s="361"/>
      <c r="D50" s="361"/>
      <c r="E50" s="625"/>
      <c r="F50" s="362"/>
      <c r="G50" s="248"/>
      <c r="I50" s="245"/>
      <c r="J50" s="40"/>
    </row>
    <row r="51" spans="1:10" ht="12.75" customHeight="1" x14ac:dyDescent="0.2">
      <c r="B51" s="18" t="s">
        <v>75</v>
      </c>
      <c r="C51" s="170"/>
      <c r="D51" s="171"/>
      <c r="E51" s="188">
        <f>SUM(E42:E49)</f>
        <v>26</v>
      </c>
      <c r="F51" s="171"/>
      <c r="G51" s="171"/>
      <c r="I51" s="245"/>
      <c r="J51" s="1"/>
    </row>
    <row r="52" spans="1:10" ht="3.95" customHeight="1" x14ac:dyDescent="0.2">
      <c r="B52" s="18"/>
      <c r="C52" s="171"/>
      <c r="D52" s="171"/>
      <c r="E52" s="171"/>
      <c r="F52" s="171"/>
      <c r="G52" s="171"/>
      <c r="I52" s="245"/>
      <c r="J52" s="1"/>
    </row>
    <row r="53" spans="1:10" ht="12.95" customHeight="1" x14ac:dyDescent="0.2">
      <c r="A53" s="164" t="s">
        <v>76</v>
      </c>
      <c r="B53" s="164"/>
      <c r="C53" s="163"/>
      <c r="D53" s="163"/>
      <c r="E53" s="163"/>
      <c r="F53" s="163"/>
      <c r="G53" s="163"/>
      <c r="H53" s="268"/>
      <c r="I53" s="1"/>
    </row>
    <row r="54" spans="1:10" ht="4.5" customHeight="1" x14ac:dyDescent="0.2">
      <c r="A54" s="164"/>
      <c r="B54" s="164"/>
      <c r="C54" s="164"/>
      <c r="I54" s="1"/>
    </row>
    <row r="55" spans="1:10" ht="12.75" customHeight="1" x14ac:dyDescent="0.2">
      <c r="A55" s="173" t="s">
        <v>77</v>
      </c>
      <c r="B55" s="173"/>
      <c r="E55" s="200">
        <f>I36</f>
        <v>736250</v>
      </c>
      <c r="I55" s="1"/>
    </row>
    <row r="56" spans="1:10" ht="3.95" customHeight="1" x14ac:dyDescent="0.25">
      <c r="A56" s="18"/>
      <c r="B56" s="18"/>
      <c r="C56" s="18"/>
      <c r="D56" s="18"/>
      <c r="E56" s="170"/>
      <c r="I56"/>
    </row>
    <row r="57" spans="1:10" ht="13.5" customHeight="1" x14ac:dyDescent="0.3">
      <c r="A57" s="23" t="s">
        <v>227</v>
      </c>
      <c r="B57" s="23"/>
      <c r="E57" s="353">
        <f>0.03*E51+0.73</f>
        <v>1.51</v>
      </c>
      <c r="F57" s="659" t="str">
        <f>IF(I36&lt;50000,"! gemäß TA.9 (3): Ist die Bemessungsgrundlage niedriger als 50.000 €, sollte der Ermittlungsweg über Abschätzung des Büro- / Personalaufwandes gewählt werden","")</f>
        <v/>
      </c>
      <c r="G57" s="659"/>
      <c r="H57" s="659"/>
      <c r="I57" s="659"/>
    </row>
    <row r="58" spans="1:10" ht="3.95" customHeight="1" x14ac:dyDescent="0.2">
      <c r="A58" s="18"/>
      <c r="B58" s="18"/>
      <c r="E58" s="28"/>
      <c r="F58" s="659"/>
      <c r="G58" s="659"/>
      <c r="H58" s="659"/>
      <c r="I58" s="659"/>
    </row>
    <row r="59" spans="1:10" ht="12.75" customHeight="1" x14ac:dyDescent="0.2">
      <c r="A59" s="18" t="s">
        <v>228</v>
      </c>
      <c r="B59" s="18"/>
      <c r="E59" s="233">
        <f>ROUND(IF(E55&lt;2000000,202*E55^(-0.2248)*E57/100,(37.8*E55^(-0.109)*E57/100)),6)</f>
        <v>0.14635999999999999</v>
      </c>
      <c r="F59" s="659"/>
      <c r="G59" s="659"/>
      <c r="H59" s="659"/>
      <c r="I59" s="659"/>
    </row>
    <row r="60" spans="1:10" ht="15.95" customHeight="1" x14ac:dyDescent="0.3">
      <c r="A60" s="23" t="s">
        <v>229</v>
      </c>
      <c r="B60" s="23"/>
      <c r="E60" s="354">
        <f>202*E55^(-0.2248)*E57/100</f>
        <v>0.14635999999999999</v>
      </c>
      <c r="F60" s="659"/>
      <c r="G60" s="659"/>
      <c r="H60" s="659"/>
      <c r="I60" s="659"/>
    </row>
    <row r="61" spans="1:10" ht="15.95" customHeight="1" x14ac:dyDescent="0.3">
      <c r="A61" s="23" t="s">
        <v>230</v>
      </c>
      <c r="B61" s="23"/>
      <c r="C61" s="23"/>
      <c r="E61" s="354">
        <f>37.8*E55^(-0.109)*E57/100</f>
        <v>0.130907</v>
      </c>
      <c r="F61" s="208" t="str">
        <f>IF(E55&gt;1999999.99,"(PL + ÖBA)","")</f>
        <v/>
      </c>
      <c r="G61" s="208"/>
      <c r="I61"/>
    </row>
    <row r="62" spans="1:10" ht="13.5" customHeight="1" x14ac:dyDescent="0.25">
      <c r="A62" s="23" t="s">
        <v>231</v>
      </c>
      <c r="B62" s="23"/>
      <c r="C62" s="23"/>
      <c r="E62" s="225">
        <v>0</v>
      </c>
      <c r="F62" s="208"/>
      <c r="H62" s="1"/>
      <c r="I62"/>
    </row>
    <row r="63" spans="1:10" ht="2.1" customHeight="1" x14ac:dyDescent="0.25">
      <c r="A63" s="18"/>
      <c r="B63" s="18"/>
      <c r="E63" s="174"/>
      <c r="F63" s="174"/>
      <c r="G63" s="174"/>
      <c r="H63" s="1"/>
      <c r="I63"/>
    </row>
    <row r="64" spans="1:10" ht="15" customHeight="1" x14ac:dyDescent="0.3">
      <c r="A64" s="21" t="s">
        <v>232</v>
      </c>
      <c r="B64" s="19"/>
      <c r="C64" s="175"/>
      <c r="D64" s="175"/>
      <c r="E64" s="176"/>
      <c r="F64" s="336">
        <f>ROUND(E55*E59*(1+E62),2)</f>
        <v>107758</v>
      </c>
      <c r="G64" s="208"/>
      <c r="I64" s="1"/>
    </row>
    <row r="65" spans="1:11" ht="2.1" customHeight="1" x14ac:dyDescent="0.2">
      <c r="A65" s="23"/>
      <c r="B65" s="18"/>
      <c r="C65" s="163"/>
      <c r="D65" s="163"/>
      <c r="E65" s="177"/>
      <c r="F65" s="177"/>
      <c r="G65" s="177"/>
      <c r="I65" s="1"/>
    </row>
    <row r="66" spans="1:11" ht="12.95" customHeight="1" x14ac:dyDescent="0.2">
      <c r="A66" s="23"/>
      <c r="B66" s="18"/>
      <c r="C66" s="163"/>
      <c r="D66" s="337" t="s">
        <v>84</v>
      </c>
      <c r="E66" s="338" t="s">
        <v>60</v>
      </c>
      <c r="F66" s="177"/>
      <c r="G66" s="569"/>
      <c r="H66" s="165"/>
      <c r="I66" s="29"/>
    </row>
    <row r="67" spans="1:11" ht="12.75" customHeight="1" x14ac:dyDescent="0.2">
      <c r="A67" s="163" t="s">
        <v>112</v>
      </c>
      <c r="B67" s="163"/>
      <c r="D67" s="339">
        <v>0.02</v>
      </c>
      <c r="E67" s="224">
        <v>0.02</v>
      </c>
      <c r="F67" s="183">
        <f>$F$64*E67</f>
        <v>2155</v>
      </c>
      <c r="G67" s="314"/>
      <c r="H67" s="570"/>
      <c r="I67" s="183"/>
    </row>
    <row r="68" spans="1:11" ht="12.75" customHeight="1" x14ac:dyDescent="0.2">
      <c r="A68" s="163" t="s">
        <v>86</v>
      </c>
      <c r="B68" s="163"/>
      <c r="D68" s="339">
        <v>0.09</v>
      </c>
      <c r="E68" s="225">
        <v>0.09</v>
      </c>
      <c r="F68" s="183">
        <f t="shared" ref="F68:F76" si="1">$F$64*E68</f>
        <v>9698</v>
      </c>
      <c r="G68" s="315"/>
      <c r="H68" s="571"/>
      <c r="I68" s="183"/>
    </row>
    <row r="69" spans="1:11" ht="12.75" customHeight="1" x14ac:dyDescent="0.2">
      <c r="A69" s="163" t="s">
        <v>87</v>
      </c>
      <c r="B69" s="163"/>
      <c r="D69" s="339">
        <v>0.16</v>
      </c>
      <c r="E69" s="225">
        <v>0.16</v>
      </c>
      <c r="F69" s="183">
        <f t="shared" si="1"/>
        <v>17241</v>
      </c>
      <c r="G69" s="315"/>
      <c r="H69" s="571"/>
      <c r="I69" s="183"/>
    </row>
    <row r="70" spans="1:11" ht="12.75" customHeight="1" x14ac:dyDescent="0.2">
      <c r="A70" s="163" t="s">
        <v>88</v>
      </c>
      <c r="B70" s="163"/>
      <c r="D70" s="339">
        <v>0.05</v>
      </c>
      <c r="E70" s="225">
        <v>0.05</v>
      </c>
      <c r="F70" s="183">
        <f t="shared" si="1"/>
        <v>5388</v>
      </c>
      <c r="G70" s="315"/>
      <c r="H70" s="571"/>
      <c r="I70" s="183"/>
      <c r="K70" s="1" t="s">
        <v>233</v>
      </c>
    </row>
    <row r="71" spans="1:11" ht="12.75" customHeight="1" x14ac:dyDescent="0.2">
      <c r="A71" s="163" t="s">
        <v>89</v>
      </c>
      <c r="B71" s="163"/>
      <c r="D71" s="339">
        <v>0.2</v>
      </c>
      <c r="E71" s="225">
        <v>0.2</v>
      </c>
      <c r="F71" s="183">
        <f t="shared" si="1"/>
        <v>21552</v>
      </c>
      <c r="G71" s="315"/>
      <c r="H71" s="571"/>
      <c r="I71" s="183"/>
    </row>
    <row r="72" spans="1:11" ht="12.75" customHeight="1" x14ac:dyDescent="0.2">
      <c r="A72" s="163" t="s">
        <v>90</v>
      </c>
      <c r="B72" s="163"/>
      <c r="D72" s="339">
        <v>0.05</v>
      </c>
      <c r="E72" s="225">
        <v>0.05</v>
      </c>
      <c r="F72" s="183">
        <f t="shared" si="1"/>
        <v>5388</v>
      </c>
      <c r="G72" s="314"/>
      <c r="H72" s="570"/>
      <c r="I72" s="183"/>
    </row>
    <row r="73" spans="1:11" ht="12.75" customHeight="1" x14ac:dyDescent="0.2">
      <c r="A73" s="163" t="s">
        <v>196</v>
      </c>
      <c r="B73" s="163"/>
      <c r="D73" s="339">
        <v>0.02</v>
      </c>
      <c r="E73" s="225">
        <v>0.02</v>
      </c>
      <c r="F73" s="183">
        <f t="shared" si="1"/>
        <v>2155</v>
      </c>
      <c r="G73" s="315"/>
      <c r="H73" s="571"/>
      <c r="I73" s="183"/>
    </row>
    <row r="74" spans="1:11" ht="12.75" customHeight="1" x14ac:dyDescent="0.2">
      <c r="A74" s="163" t="s">
        <v>113</v>
      </c>
      <c r="B74" s="163"/>
      <c r="D74" s="339">
        <v>0.04</v>
      </c>
      <c r="E74" s="225">
        <v>0.04</v>
      </c>
      <c r="F74" s="183">
        <f t="shared" si="1"/>
        <v>4310</v>
      </c>
      <c r="G74" s="315"/>
      <c r="H74" s="571"/>
      <c r="I74" s="183"/>
    </row>
    <row r="75" spans="1:11" ht="12.75" customHeight="1" x14ac:dyDescent="0.2">
      <c r="A75" s="163" t="s">
        <v>234</v>
      </c>
      <c r="B75" s="163"/>
      <c r="D75" s="339">
        <v>0.35</v>
      </c>
      <c r="E75" s="225">
        <v>0.35</v>
      </c>
      <c r="F75" s="183">
        <f t="shared" si="1"/>
        <v>37715</v>
      </c>
      <c r="G75" s="315"/>
      <c r="H75" s="571"/>
      <c r="I75" s="183"/>
    </row>
    <row r="76" spans="1:11" ht="12.75" customHeight="1" x14ac:dyDescent="0.2">
      <c r="A76" s="175" t="s">
        <v>115</v>
      </c>
      <c r="B76" s="175"/>
      <c r="C76" s="35"/>
      <c r="D76" s="340">
        <v>0.02</v>
      </c>
      <c r="E76" s="226">
        <v>0.02</v>
      </c>
      <c r="F76" s="183">
        <f t="shared" si="1"/>
        <v>2155</v>
      </c>
      <c r="G76" s="316"/>
      <c r="H76" s="572"/>
      <c r="I76" s="183"/>
    </row>
    <row r="77" spans="1:11" s="16" customFormat="1" ht="18.600000000000001" customHeight="1" x14ac:dyDescent="0.25">
      <c r="A77" s="381" t="s">
        <v>116</v>
      </c>
      <c r="B77" s="382"/>
      <c r="D77" s="627">
        <f>SUM(D67:D76)</f>
        <v>1</v>
      </c>
      <c r="E77" s="383">
        <f>SUM(E67:E76)</f>
        <v>1</v>
      </c>
      <c r="F77" s="550">
        <f>SUM(F67:F76)</f>
        <v>107757</v>
      </c>
      <c r="G77" s="372"/>
      <c r="H77" s="383"/>
      <c r="I77" s="550"/>
      <c r="J77" s="384"/>
    </row>
    <row r="78" spans="1:11" ht="12.75" customHeight="1" x14ac:dyDescent="0.2">
      <c r="A78" s="253" t="s">
        <v>235</v>
      </c>
      <c r="B78" s="178"/>
      <c r="D78" s="279">
        <v>0.02</v>
      </c>
      <c r="E78" s="224">
        <v>0.02</v>
      </c>
      <c r="F78" s="183">
        <f t="shared" ref="F78:F85" si="2">$F$64*E78</f>
        <v>2155</v>
      </c>
      <c r="G78" s="179"/>
      <c r="H78" s="183"/>
      <c r="I78" s="91"/>
      <c r="J78" s="1"/>
    </row>
    <row r="79" spans="1:11" ht="12.75" customHeight="1" x14ac:dyDescent="0.2">
      <c r="A79" s="253" t="s">
        <v>152</v>
      </c>
      <c r="B79" s="178"/>
      <c r="D79" s="279">
        <v>1.4999999999999999E-2</v>
      </c>
      <c r="E79" s="225">
        <v>0</v>
      </c>
      <c r="F79" s="183">
        <f t="shared" si="2"/>
        <v>0</v>
      </c>
      <c r="G79" s="179"/>
      <c r="H79" s="183"/>
      <c r="I79" s="91"/>
      <c r="J79" s="1"/>
    </row>
    <row r="80" spans="1:11" ht="12.75" customHeight="1" x14ac:dyDescent="0.2">
      <c r="A80" s="253" t="s">
        <v>236</v>
      </c>
      <c r="B80" s="178"/>
      <c r="D80" s="279">
        <v>2.5000000000000001E-2</v>
      </c>
      <c r="E80" s="225">
        <v>0</v>
      </c>
      <c r="F80" s="183">
        <f t="shared" si="2"/>
        <v>0</v>
      </c>
      <c r="G80" s="179"/>
      <c r="H80" s="183"/>
      <c r="I80" s="91"/>
      <c r="J80" s="1"/>
    </row>
    <row r="81" spans="1:13" ht="12.75" customHeight="1" x14ac:dyDescent="0.2">
      <c r="A81" s="253" t="s">
        <v>237</v>
      </c>
      <c r="B81" s="178"/>
      <c r="D81" s="279">
        <v>0.03</v>
      </c>
      <c r="E81" s="343">
        <v>0</v>
      </c>
      <c r="F81" s="183">
        <f t="shared" si="2"/>
        <v>0</v>
      </c>
      <c r="G81" s="179"/>
      <c r="H81" s="183"/>
      <c r="I81" s="91"/>
      <c r="J81" s="1"/>
    </row>
    <row r="82" spans="1:13" ht="12.75" customHeight="1" x14ac:dyDescent="0.2">
      <c r="A82" s="253" t="s">
        <v>238</v>
      </c>
      <c r="B82" s="178"/>
      <c r="D82" s="279">
        <v>0.02</v>
      </c>
      <c r="E82" s="363">
        <v>0</v>
      </c>
      <c r="F82" s="183">
        <f t="shared" si="2"/>
        <v>0</v>
      </c>
      <c r="G82" s="179"/>
      <c r="H82" s="183"/>
      <c r="I82" s="91"/>
      <c r="J82" s="1"/>
    </row>
    <row r="83" spans="1:13" ht="12.75" customHeight="1" x14ac:dyDescent="0.2">
      <c r="A83" s="253" t="s">
        <v>239</v>
      </c>
      <c r="B83" s="178"/>
      <c r="D83" s="314">
        <v>0.01</v>
      </c>
      <c r="E83" s="363">
        <v>0</v>
      </c>
      <c r="F83" s="183">
        <f t="shared" si="2"/>
        <v>0</v>
      </c>
      <c r="G83" s="179"/>
      <c r="H83" s="183"/>
      <c r="I83" s="91"/>
      <c r="J83" s="1"/>
    </row>
    <row r="84" spans="1:13" ht="12.75" customHeight="1" x14ac:dyDescent="0.2">
      <c r="A84" s="638" t="s">
        <v>250</v>
      </c>
      <c r="B84" s="178"/>
      <c r="D84" s="314">
        <v>0.01</v>
      </c>
      <c r="E84" s="363">
        <v>0</v>
      </c>
      <c r="F84" s="183">
        <f t="shared" si="2"/>
        <v>0</v>
      </c>
      <c r="G84" s="179"/>
      <c r="H84" s="183"/>
      <c r="I84" s="91"/>
      <c r="J84" s="1"/>
    </row>
    <row r="85" spans="1:13" ht="12.75" customHeight="1" x14ac:dyDescent="0.2">
      <c r="A85" s="639" t="s">
        <v>260</v>
      </c>
      <c r="B85" s="180"/>
      <c r="C85" s="35"/>
      <c r="D85" s="373">
        <v>0.04</v>
      </c>
      <c r="E85" s="226">
        <v>0</v>
      </c>
      <c r="F85" s="184">
        <f t="shared" si="2"/>
        <v>0</v>
      </c>
      <c r="G85" s="604"/>
      <c r="H85" s="184"/>
      <c r="I85" s="606"/>
      <c r="J85" s="1"/>
    </row>
    <row r="86" spans="1:13" ht="12.75" customHeight="1" x14ac:dyDescent="0.2">
      <c r="A86" s="649" t="s">
        <v>252</v>
      </c>
      <c r="B86" s="649"/>
      <c r="C86" s="649"/>
      <c r="D86" s="632">
        <f>SUM(D77:D85)</f>
        <v>1.17</v>
      </c>
      <c r="E86" s="179">
        <f>SUM(E77:E85)</f>
        <v>1.02</v>
      </c>
      <c r="F86" s="372">
        <f>F77+SUM(F78:F85)</f>
        <v>109912</v>
      </c>
      <c r="H86" s="179"/>
      <c r="I86" s="624">
        <f>F86</f>
        <v>109912</v>
      </c>
      <c r="J86" s="1"/>
      <c r="K86" s="9"/>
    </row>
    <row r="87" spans="1:13" ht="12.75" customHeight="1" x14ac:dyDescent="0.2">
      <c r="A87" s="181"/>
      <c r="B87" s="18"/>
      <c r="D87" s="179"/>
      <c r="E87" s="179"/>
      <c r="F87" s="185"/>
      <c r="G87" s="8"/>
      <c r="I87" s="317"/>
      <c r="J87" s="1"/>
    </row>
    <row r="88" spans="1:13" ht="12.75" customHeight="1" x14ac:dyDescent="0.25">
      <c r="A88" s="33" t="s">
        <v>98</v>
      </c>
      <c r="E88" s="230">
        <v>0</v>
      </c>
      <c r="F88" s="231">
        <v>0</v>
      </c>
      <c r="I88" s="91">
        <f>E88*F88</f>
        <v>0</v>
      </c>
      <c r="K88"/>
      <c r="L88"/>
      <c r="M88"/>
    </row>
    <row r="89" spans="1:13" ht="3" customHeight="1" x14ac:dyDescent="0.25">
      <c r="E89" s="108"/>
      <c r="I89"/>
    </row>
    <row r="90" spans="1:13" s="23" customFormat="1" ht="12.75" x14ac:dyDescent="0.2">
      <c r="A90" s="94" t="s">
        <v>240</v>
      </c>
      <c r="B90" s="95"/>
      <c r="C90" s="96"/>
      <c r="D90" s="98"/>
      <c r="E90" s="109"/>
      <c r="F90" s="97"/>
      <c r="G90" s="97"/>
      <c r="H90" s="97"/>
      <c r="I90" s="99">
        <f>I86+I88</f>
        <v>109912</v>
      </c>
    </row>
    <row r="91" spans="1:13" s="23" customFormat="1" ht="3" customHeight="1" x14ac:dyDescent="0.2">
      <c r="B91" s="24"/>
      <c r="C91" s="25"/>
      <c r="D91" s="47"/>
      <c r="E91" s="48"/>
      <c r="F91" s="48"/>
      <c r="G91" s="48"/>
      <c r="I91" s="91"/>
    </row>
    <row r="92" spans="1:13" s="23" customFormat="1" ht="12.75" x14ac:dyDescent="0.2">
      <c r="A92" s="49" t="s">
        <v>40</v>
      </c>
      <c r="B92" s="24"/>
      <c r="C92" s="25"/>
      <c r="D92" s="47"/>
      <c r="E92" s="220">
        <v>0.04</v>
      </c>
      <c r="F92" s="48"/>
      <c r="G92" s="48"/>
      <c r="I92" s="91">
        <f>ROUND(I90*E92,2)</f>
        <v>4396</v>
      </c>
    </row>
    <row r="93" spans="1:13" s="23" customFormat="1" ht="3" customHeight="1" x14ac:dyDescent="0.2">
      <c r="A93" s="50"/>
      <c r="B93" s="51"/>
      <c r="C93" s="52"/>
      <c r="D93" s="56"/>
      <c r="E93" s="221"/>
      <c r="F93" s="57"/>
      <c r="G93" s="57"/>
      <c r="H93" s="50"/>
      <c r="I93" s="93"/>
    </row>
    <row r="94" spans="1:13" s="23" customFormat="1" ht="3" customHeight="1" x14ac:dyDescent="0.2">
      <c r="B94" s="24"/>
      <c r="C94" s="25"/>
      <c r="D94" s="58"/>
      <c r="E94" s="222"/>
      <c r="F94" s="65"/>
      <c r="G94" s="65"/>
      <c r="H94" s="59"/>
      <c r="I94" s="91"/>
    </row>
    <row r="95" spans="1:13" s="23" customFormat="1" ht="12.75" x14ac:dyDescent="0.2">
      <c r="A95" s="53" t="s">
        <v>241</v>
      </c>
      <c r="B95" s="54"/>
      <c r="C95" s="55"/>
      <c r="D95" s="26"/>
      <c r="E95" s="219"/>
      <c r="F95" s="48"/>
      <c r="G95" s="48"/>
      <c r="I95" s="92">
        <f>I90+I92</f>
        <v>114308</v>
      </c>
    </row>
    <row r="96" spans="1:13" s="23" customFormat="1" ht="12.75" x14ac:dyDescent="0.2">
      <c r="A96" s="23" t="s">
        <v>48</v>
      </c>
      <c r="B96" s="24"/>
      <c r="C96" s="25"/>
      <c r="D96" s="26"/>
      <c r="E96" s="27">
        <v>0.2</v>
      </c>
      <c r="F96" s="27"/>
      <c r="G96" s="27"/>
      <c r="I96" s="91">
        <f>ROUND(I95*E96,2)</f>
        <v>22862</v>
      </c>
    </row>
    <row r="97" spans="1:9" s="23" customFormat="1" ht="3" customHeight="1" x14ac:dyDescent="0.2">
      <c r="B97" s="24"/>
      <c r="C97" s="25"/>
      <c r="D97" s="26"/>
      <c r="E97" s="48"/>
      <c r="F97" s="48"/>
      <c r="G97" s="48"/>
      <c r="I97" s="91"/>
    </row>
    <row r="98" spans="1:9" s="23" customFormat="1" ht="12.75" x14ac:dyDescent="0.2">
      <c r="A98" s="191" t="s">
        <v>242</v>
      </c>
      <c r="B98" s="201"/>
      <c r="C98" s="192"/>
      <c r="D98" s="194"/>
      <c r="E98" s="195"/>
      <c r="F98" s="195"/>
      <c r="G98" s="195"/>
      <c r="H98" s="193"/>
      <c r="I98" s="196">
        <f>SUM(I94:I96)</f>
        <v>137170</v>
      </c>
    </row>
    <row r="99" spans="1:9" ht="3" customHeight="1" x14ac:dyDescent="0.2"/>
    <row r="100" spans="1:9" ht="12.75" x14ac:dyDescent="0.2">
      <c r="A100" s="203" t="s">
        <v>120</v>
      </c>
      <c r="E100" s="270">
        <f>I95/E32</f>
        <v>2.8164000000000002E-2</v>
      </c>
    </row>
  </sheetData>
  <sheetProtection algorithmName="SHA-512" hashValue="kz56x+8px1GSq0Vde/uumrWSQqv1ajaPQ+QD/3mQOriKUyCH6w7/bIY3rvkv9X5O9DaT/Ctr6Dlal62kHUKLJA==" saltValue="h3I2BTVAVKzJVdVzBUNB8A==" spinCount="100000" sheet="1" objects="1" scenarios="1"/>
  <mergeCells count="13">
    <mergeCell ref="A86:C86"/>
    <mergeCell ref="F57:I60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1" priority="2" stopIfTrue="1">
      <formula>$E$55&gt;1999999.99</formula>
    </cfRule>
  </conditionalFormatting>
  <conditionalFormatting sqref="E61">
    <cfRule type="expression" dxfId="0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Scroll Bar 3">
              <controlPr defaultSize="0" autoPict="0">
                <anchor moveWithCells="1">
                  <from>
                    <xdr:col>7</xdr:col>
                    <xdr:colOff>19050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10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EC9C-612E-4085-9BD8-0A68FD1C66E9}">
  <sheetPr>
    <tabColor theme="6"/>
  </sheetPr>
  <dimension ref="A1:M94"/>
  <sheetViews>
    <sheetView showGridLines="0" topLeftCell="A26" zoomScaleNormal="100" zoomScaleSheetLayoutView="85" workbookViewId="0">
      <selection activeCell="N58" sqref="N58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 x14ac:dyDescent="0.2"/>
    <row r="2" spans="1:10" s="37" customFormat="1" ht="35.1" customHeight="1" x14ac:dyDescent="0.2">
      <c r="A2" s="107" t="s">
        <v>51</v>
      </c>
      <c r="E2" s="38"/>
      <c r="F2" s="38"/>
      <c r="G2" s="38"/>
      <c r="H2" s="644" t="s">
        <v>256</v>
      </c>
      <c r="I2" s="644"/>
      <c r="J2" s="43"/>
    </row>
    <row r="3" spans="1:10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 x14ac:dyDescent="0.25">
      <c r="I4" s="2"/>
      <c r="J4" s="2"/>
    </row>
    <row r="5" spans="1:10" s="10" customFormat="1" ht="12.95" customHeight="1" x14ac:dyDescent="0.25">
      <c r="D5" s="69" t="s">
        <v>2</v>
      </c>
      <c r="E5" s="30" t="s">
        <v>3</v>
      </c>
      <c r="F5" s="30"/>
      <c r="G5" s="30"/>
      <c r="H5" s="12" t="s">
        <v>52</v>
      </c>
      <c r="I5" s="89" t="s">
        <v>53</v>
      </c>
      <c r="J5" s="30"/>
    </row>
    <row r="6" spans="1:10" s="10" customFormat="1" ht="6" customHeight="1" x14ac:dyDescent="0.25">
      <c r="E6" s="67"/>
      <c r="I6" s="2"/>
      <c r="J6" s="2"/>
    </row>
    <row r="7" spans="1:10" s="11" customFormat="1" ht="12.95" customHeight="1" x14ac:dyDescent="0.2">
      <c r="A7" s="645">
        <v>1</v>
      </c>
      <c r="B7" s="645"/>
      <c r="C7" s="76" t="s">
        <v>4</v>
      </c>
      <c r="D7" s="138">
        <f>E7/$E$36</f>
        <v>2E-3</v>
      </c>
      <c r="E7" s="615">
        <f>_1</f>
        <v>10000</v>
      </c>
      <c r="F7" s="72"/>
      <c r="G7" s="72"/>
      <c r="H7" s="281">
        <v>0</v>
      </c>
      <c r="I7" s="321">
        <f>E7*H7</f>
        <v>0</v>
      </c>
      <c r="J7" s="34"/>
    </row>
    <row r="8" spans="1:10" ht="3.95" customHeight="1" x14ac:dyDescent="0.2">
      <c r="B8" s="4"/>
      <c r="D8" s="139"/>
      <c r="E8" s="616"/>
      <c r="F8" s="110"/>
      <c r="G8" s="110"/>
      <c r="H8" s="283"/>
      <c r="I8" s="244"/>
      <c r="J8" s="44"/>
    </row>
    <row r="9" spans="1:10" s="11" customFormat="1" ht="12.95" customHeight="1" x14ac:dyDescent="0.2">
      <c r="A9" s="645">
        <v>2</v>
      </c>
      <c r="B9" s="645"/>
      <c r="C9" s="76" t="s">
        <v>5</v>
      </c>
      <c r="D9" s="138">
        <f>E9/$E$36</f>
        <v>0.37</v>
      </c>
      <c r="E9" s="615">
        <f>_2</f>
        <v>1500000</v>
      </c>
      <c r="F9" s="72"/>
      <c r="G9" s="72"/>
      <c r="H9" s="299">
        <v>1</v>
      </c>
      <c r="I9" s="321">
        <f>E9*H9</f>
        <v>1500000</v>
      </c>
      <c r="J9" s="34"/>
    </row>
    <row r="10" spans="1:10" ht="3.95" customHeight="1" x14ac:dyDescent="0.2">
      <c r="D10" s="139"/>
      <c r="E10" s="617"/>
      <c r="F10" s="110"/>
      <c r="G10" s="110"/>
      <c r="H10" s="283"/>
      <c r="I10" s="376"/>
      <c r="J10" s="34"/>
    </row>
    <row r="11" spans="1:10" s="10" customFormat="1" ht="12.75" customHeight="1" x14ac:dyDescent="0.2">
      <c r="A11" s="645">
        <v>3</v>
      </c>
      <c r="B11" s="645"/>
      <c r="C11" s="76" t="s">
        <v>6</v>
      </c>
      <c r="D11" s="138">
        <f>E11/$E$36</f>
        <v>0.14899999999999999</v>
      </c>
      <c r="E11" s="618">
        <f>_3</f>
        <v>605000</v>
      </c>
      <c r="F11" s="72"/>
      <c r="G11" s="72"/>
      <c r="H11" s="283"/>
      <c r="I11" s="376"/>
      <c r="J11" s="34"/>
    </row>
    <row r="12" spans="1:10" ht="12.95" customHeight="1" x14ac:dyDescent="0.2">
      <c r="A12" s="348">
        <v>3</v>
      </c>
      <c r="B12" s="289" t="s">
        <v>7</v>
      </c>
      <c r="C12" s="290" t="s">
        <v>8</v>
      </c>
      <c r="D12" s="140"/>
      <c r="E12" s="619">
        <f>_3.01</f>
        <v>120000</v>
      </c>
      <c r="F12" s="72"/>
      <c r="G12" s="72"/>
      <c r="H12" s="299">
        <v>1</v>
      </c>
      <c r="I12" s="377">
        <f t="shared" ref="I12:I19" si="0">E12*H12</f>
        <v>120000</v>
      </c>
      <c r="J12" s="34"/>
    </row>
    <row r="13" spans="1:10" ht="12.95" customHeight="1" x14ac:dyDescent="0.2">
      <c r="A13" s="349">
        <v>3</v>
      </c>
      <c r="B13" s="292" t="s">
        <v>9</v>
      </c>
      <c r="C13" s="293" t="s">
        <v>10</v>
      </c>
      <c r="D13" s="141"/>
      <c r="E13" s="619">
        <f>_3.02</f>
        <v>130000</v>
      </c>
      <c r="F13" s="72"/>
      <c r="G13" s="72"/>
      <c r="H13" s="299">
        <v>1</v>
      </c>
      <c r="I13" s="345">
        <f t="shared" si="0"/>
        <v>130000</v>
      </c>
      <c r="J13" s="34"/>
    </row>
    <row r="14" spans="1:10" ht="12.95" customHeight="1" x14ac:dyDescent="0.2">
      <c r="A14" s="349">
        <v>3</v>
      </c>
      <c r="B14" s="292" t="s">
        <v>11</v>
      </c>
      <c r="C14" s="293" t="s">
        <v>12</v>
      </c>
      <c r="D14" s="141"/>
      <c r="E14" s="619">
        <f>_3.03</f>
        <v>130000</v>
      </c>
      <c r="F14" s="72"/>
      <c r="G14" s="72"/>
      <c r="H14" s="299">
        <v>1</v>
      </c>
      <c r="I14" s="345">
        <f t="shared" si="0"/>
        <v>130000</v>
      </c>
      <c r="J14" s="34"/>
    </row>
    <row r="15" spans="1:10" ht="12.95" customHeight="1" x14ac:dyDescent="0.2">
      <c r="A15" s="349">
        <v>3</v>
      </c>
      <c r="B15" s="292" t="s">
        <v>13</v>
      </c>
      <c r="C15" s="293" t="s">
        <v>14</v>
      </c>
      <c r="D15" s="141"/>
      <c r="E15" s="619">
        <f>_3.04</f>
        <v>140000</v>
      </c>
      <c r="F15" s="72"/>
      <c r="G15" s="72"/>
      <c r="H15" s="299">
        <v>1</v>
      </c>
      <c r="I15" s="345">
        <f t="shared" si="0"/>
        <v>140000</v>
      </c>
      <c r="J15" s="34"/>
    </row>
    <row r="16" spans="1:10" ht="12.95" customHeight="1" x14ac:dyDescent="0.2">
      <c r="A16" s="349">
        <v>3</v>
      </c>
      <c r="B16" s="292" t="s">
        <v>15</v>
      </c>
      <c r="C16" s="293" t="s">
        <v>16</v>
      </c>
      <c r="D16" s="141"/>
      <c r="E16" s="619">
        <f>_3.05</f>
        <v>65000</v>
      </c>
      <c r="F16" s="72"/>
      <c r="G16" s="72"/>
      <c r="H16" s="299">
        <v>1</v>
      </c>
      <c r="I16" s="345">
        <f t="shared" si="0"/>
        <v>65000</v>
      </c>
      <c r="J16" s="34"/>
    </row>
    <row r="17" spans="1:13" ht="12.95" customHeight="1" x14ac:dyDescent="0.2">
      <c r="A17" s="349">
        <v>3</v>
      </c>
      <c r="B17" s="292" t="s">
        <v>17</v>
      </c>
      <c r="C17" s="293" t="s">
        <v>18</v>
      </c>
      <c r="D17" s="141"/>
      <c r="E17" s="619">
        <f>_3.06</f>
        <v>20000</v>
      </c>
      <c r="F17" s="72"/>
      <c r="G17" s="72"/>
      <c r="H17" s="299">
        <v>1</v>
      </c>
      <c r="I17" s="345">
        <f t="shared" si="0"/>
        <v>20000</v>
      </c>
      <c r="J17" s="34"/>
    </row>
    <row r="18" spans="1:13" ht="12.95" customHeight="1" x14ac:dyDescent="0.2">
      <c r="A18" s="349">
        <v>3</v>
      </c>
      <c r="B18" s="292" t="s">
        <v>19</v>
      </c>
      <c r="C18" s="293" t="s">
        <v>20</v>
      </c>
      <c r="D18" s="141"/>
      <c r="E18" s="619">
        <f>_3.07</f>
        <v>0</v>
      </c>
      <c r="F18" s="72"/>
      <c r="G18" s="72"/>
      <c r="H18" s="299">
        <v>0</v>
      </c>
      <c r="I18" s="345">
        <f t="shared" si="0"/>
        <v>0</v>
      </c>
      <c r="J18" s="34"/>
    </row>
    <row r="19" spans="1:13" ht="12.95" customHeight="1" x14ac:dyDescent="0.2">
      <c r="A19" s="349">
        <v>3</v>
      </c>
      <c r="B19" s="292" t="s">
        <v>21</v>
      </c>
      <c r="C19" s="293" t="s">
        <v>22</v>
      </c>
      <c r="D19" s="141"/>
      <c r="E19" s="619">
        <f>_3.08</f>
        <v>0</v>
      </c>
      <c r="F19" s="72"/>
      <c r="G19" s="72"/>
      <c r="H19" s="299">
        <v>1</v>
      </c>
      <c r="I19" s="378">
        <f t="shared" si="0"/>
        <v>0</v>
      </c>
      <c r="J19" s="34"/>
    </row>
    <row r="20" spans="1:13" ht="3.95" customHeight="1" x14ac:dyDescent="0.2">
      <c r="D20" s="139"/>
      <c r="E20" s="620"/>
      <c r="F20" s="110"/>
      <c r="G20" s="110"/>
      <c r="H20" s="295"/>
      <c r="I20" s="376"/>
      <c r="J20" s="158"/>
    </row>
    <row r="21" spans="1:13" s="10" customFormat="1" ht="12.75" customHeight="1" x14ac:dyDescent="0.2">
      <c r="A21" s="645">
        <v>4</v>
      </c>
      <c r="B21" s="645"/>
      <c r="C21" s="76" t="s">
        <v>23</v>
      </c>
      <c r="D21" s="138">
        <f>E21/$E$36</f>
        <v>0.19700000000000001</v>
      </c>
      <c r="E21" s="615">
        <f>_4</f>
        <v>800000</v>
      </c>
      <c r="F21" s="72"/>
      <c r="G21" s="72"/>
      <c r="H21" s="299">
        <v>1</v>
      </c>
      <c r="I21" s="321">
        <f>E21*H21</f>
        <v>800000</v>
      </c>
      <c r="J21" s="34"/>
    </row>
    <row r="22" spans="1:13" ht="3.95" customHeight="1" x14ac:dyDescent="0.2">
      <c r="B22" s="4"/>
      <c r="D22" s="139"/>
      <c r="E22" s="620"/>
      <c r="F22" s="110"/>
      <c r="G22" s="110"/>
      <c r="H22" s="283"/>
      <c r="I22" s="376"/>
      <c r="J22" s="33"/>
    </row>
    <row r="23" spans="1:13" s="11" customFormat="1" ht="12.95" customHeight="1" x14ac:dyDescent="0.2">
      <c r="A23" s="645">
        <v>5</v>
      </c>
      <c r="B23" s="645"/>
      <c r="C23" s="76" t="s">
        <v>24</v>
      </c>
      <c r="D23" s="138">
        <f>E23/$E$36</f>
        <v>2.5000000000000001E-2</v>
      </c>
      <c r="E23" s="618">
        <f>_5</f>
        <v>100000</v>
      </c>
      <c r="F23" s="72"/>
      <c r="G23" s="72"/>
      <c r="H23" s="283"/>
      <c r="I23" s="552"/>
      <c r="J23" s="34"/>
    </row>
    <row r="24" spans="1:13" ht="12.95" customHeight="1" x14ac:dyDescent="0.25">
      <c r="A24" s="348">
        <v>5</v>
      </c>
      <c r="B24" s="296" t="s">
        <v>7</v>
      </c>
      <c r="C24" s="290" t="s">
        <v>25</v>
      </c>
      <c r="D24" s="140"/>
      <c r="E24" s="621">
        <f>_5.01</f>
        <v>60000</v>
      </c>
      <c r="F24" s="72"/>
      <c r="G24" s="72"/>
      <c r="H24" s="299">
        <v>1</v>
      </c>
      <c r="I24" s="345">
        <f>H24*E24</f>
        <v>60000</v>
      </c>
      <c r="J24" s="34"/>
      <c r="K24"/>
      <c r="L24"/>
      <c r="M24"/>
    </row>
    <row r="25" spans="1:13" ht="12.95" customHeight="1" x14ac:dyDescent="0.25">
      <c r="A25" s="291">
        <v>5</v>
      </c>
      <c r="B25" s="297" t="s">
        <v>9</v>
      </c>
      <c r="C25" s="298" t="s">
        <v>26</v>
      </c>
      <c r="D25" s="264"/>
      <c r="E25" s="622">
        <f>_5.02</f>
        <v>40000</v>
      </c>
      <c r="F25" s="72"/>
      <c r="G25" s="72"/>
      <c r="H25" s="299">
        <v>0.6</v>
      </c>
      <c r="I25" s="345">
        <f>E25*H25</f>
        <v>24000</v>
      </c>
      <c r="J25" s="34"/>
      <c r="K25"/>
      <c r="L25"/>
      <c r="M25"/>
    </row>
    <row r="26" spans="1:13" ht="12.95" customHeight="1" x14ac:dyDescent="0.25">
      <c r="A26" s="291">
        <v>5</v>
      </c>
      <c r="B26" s="297" t="s">
        <v>11</v>
      </c>
      <c r="C26" s="293" t="s">
        <v>27</v>
      </c>
      <c r="D26" s="141"/>
      <c r="E26" s="623">
        <f>_5.03</f>
        <v>0</v>
      </c>
      <c r="F26" s="2"/>
      <c r="G26" s="2"/>
      <c r="H26" s="299">
        <v>0</v>
      </c>
      <c r="I26" s="345">
        <f>E26*H26</f>
        <v>0</v>
      </c>
      <c r="J26" s="34"/>
      <c r="K26"/>
      <c r="L26"/>
      <c r="M26"/>
    </row>
    <row r="27" spans="1:13" ht="3.95" customHeight="1" x14ac:dyDescent="0.2">
      <c r="D27" s="139"/>
      <c r="E27" s="620"/>
      <c r="F27" s="110"/>
      <c r="G27" s="110"/>
      <c r="H27" s="283"/>
      <c r="I27" s="376"/>
      <c r="J27" s="34"/>
    </row>
    <row r="28" spans="1:13" s="10" customFormat="1" ht="12.95" customHeight="1" x14ac:dyDescent="0.2">
      <c r="A28" s="645">
        <v>6</v>
      </c>
      <c r="B28" s="645"/>
      <c r="C28" s="76" t="s">
        <v>28</v>
      </c>
      <c r="D28" s="138">
        <f>E28/$E$36</f>
        <v>1.6E-2</v>
      </c>
      <c r="E28" s="615">
        <f>_6</f>
        <v>65000</v>
      </c>
      <c r="F28" s="72"/>
      <c r="G28" s="72"/>
      <c r="H28" s="299">
        <v>0</v>
      </c>
      <c r="I28" s="321">
        <f>E28*H28</f>
        <v>0</v>
      </c>
      <c r="J28" s="34"/>
    </row>
    <row r="29" spans="1:13" ht="3.95" customHeight="1" x14ac:dyDescent="0.2">
      <c r="B29" s="13"/>
      <c r="D29" s="142"/>
      <c r="E29" s="620"/>
      <c r="F29" s="110"/>
      <c r="G29" s="110"/>
      <c r="H29" s="283"/>
      <c r="I29" s="376"/>
      <c r="J29" s="34"/>
    </row>
    <row r="30" spans="1:13" s="11" customFormat="1" ht="12.95" customHeight="1" x14ac:dyDescent="0.2">
      <c r="A30" s="645">
        <v>7</v>
      </c>
      <c r="B30" s="645"/>
      <c r="C30" s="76" t="s">
        <v>145</v>
      </c>
      <c r="D30" s="138">
        <f>E30/$E$36</f>
        <v>0.185</v>
      </c>
      <c r="E30" s="615">
        <f>_7</f>
        <v>750000</v>
      </c>
      <c r="F30" s="72"/>
      <c r="G30" s="72"/>
      <c r="H30" s="299">
        <v>0</v>
      </c>
      <c r="I30" s="321">
        <f>E30*H30</f>
        <v>0</v>
      </c>
      <c r="J30" s="34"/>
    </row>
    <row r="31" spans="1:13" ht="3.95" customHeight="1" x14ac:dyDescent="0.2">
      <c r="D31" s="142"/>
      <c r="E31" s="620"/>
      <c r="F31" s="110"/>
      <c r="G31" s="110"/>
      <c r="H31" s="283"/>
      <c r="I31" s="376"/>
      <c r="J31" s="34"/>
    </row>
    <row r="32" spans="1:13" s="11" customFormat="1" ht="12.95" customHeight="1" x14ac:dyDescent="0.2">
      <c r="A32" s="645">
        <v>8</v>
      </c>
      <c r="B32" s="645"/>
      <c r="C32" s="76" t="s">
        <v>30</v>
      </c>
      <c r="D32" s="138">
        <f>E32/$E$36</f>
        <v>1E-3</v>
      </c>
      <c r="E32" s="615">
        <f>_8</f>
        <v>3600</v>
      </c>
      <c r="F32" s="72"/>
      <c r="G32" s="72"/>
      <c r="H32" s="299">
        <v>0</v>
      </c>
      <c r="I32" s="321">
        <f>E32*H32</f>
        <v>0</v>
      </c>
      <c r="J32" s="34"/>
    </row>
    <row r="33" spans="1:11" ht="3.95" customHeight="1" x14ac:dyDescent="0.2">
      <c r="D33" s="142"/>
      <c r="E33" s="620"/>
      <c r="F33" s="110"/>
      <c r="G33" s="110"/>
      <c r="H33" s="295"/>
      <c r="I33" s="376"/>
      <c r="J33" s="158"/>
    </row>
    <row r="34" spans="1:11" s="11" customFormat="1" ht="12.95" customHeight="1" x14ac:dyDescent="0.2">
      <c r="A34" s="645">
        <v>9</v>
      </c>
      <c r="B34" s="645"/>
      <c r="C34" s="76" t="s">
        <v>31</v>
      </c>
      <c r="D34" s="138">
        <f>E34/$E$36</f>
        <v>5.5E-2</v>
      </c>
      <c r="E34" s="615">
        <f>_9</f>
        <v>225000</v>
      </c>
      <c r="F34" s="72"/>
      <c r="G34" s="72"/>
      <c r="H34" s="299">
        <v>0.1</v>
      </c>
      <c r="I34" s="321">
        <f>E34*H34</f>
        <v>22500</v>
      </c>
      <c r="J34" s="34"/>
    </row>
    <row r="35" spans="1:11" ht="9.9499999999999993" customHeight="1" x14ac:dyDescent="0.25">
      <c r="B35" s="13"/>
      <c r="D35" s="32"/>
      <c r="E35" s="597"/>
      <c r="F35" s="229"/>
      <c r="G35" s="229"/>
      <c r="H35" s="229"/>
      <c r="I35" s="376"/>
      <c r="J35" s="1"/>
      <c r="K35"/>
    </row>
    <row r="36" spans="1:11" ht="12.95" customHeight="1" x14ac:dyDescent="0.2">
      <c r="A36" s="113" t="s">
        <v>56</v>
      </c>
      <c r="B36" s="114"/>
      <c r="C36" s="114"/>
      <c r="D36" s="116">
        <f>SUM(D7:D34)</f>
        <v>1</v>
      </c>
      <c r="E36" s="301">
        <f>E7+E9+E11+E21+E23+E28+E30+E32+E34</f>
        <v>4058600</v>
      </c>
      <c r="F36" s="72"/>
      <c r="G36" s="72"/>
      <c r="H36" s="72"/>
      <c r="I36" s="301">
        <f>SUM(I7:I34)</f>
        <v>3011500</v>
      </c>
      <c r="J36" s="22"/>
    </row>
    <row r="37" spans="1:11" ht="4.1500000000000004" customHeight="1" x14ac:dyDescent="0.25">
      <c r="B37" s="265"/>
      <c r="D37" s="32"/>
      <c r="E37" s="597"/>
      <c r="F37" s="229"/>
      <c r="G37" s="229"/>
      <c r="H37" s="247"/>
      <c r="I37" s="244"/>
      <c r="J37" s="1"/>
    </row>
    <row r="38" spans="1:11" s="10" customFormat="1" ht="12.95" customHeight="1" x14ac:dyDescent="0.25">
      <c r="A38" s="302"/>
      <c r="B38" s="75" t="s">
        <v>57</v>
      </c>
      <c r="C38" s="76"/>
      <c r="D38" s="138"/>
      <c r="E38" s="321">
        <f>_mvB</f>
        <v>120000</v>
      </c>
      <c r="F38" s="72"/>
      <c r="G38" s="72"/>
      <c r="H38" s="380">
        <v>1</v>
      </c>
      <c r="I38" s="321">
        <f>E38*H38</f>
        <v>120000</v>
      </c>
    </row>
    <row r="39" spans="1:11" ht="9.9499999999999993" customHeight="1" x14ac:dyDescent="0.2">
      <c r="D39" s="32"/>
    </row>
    <row r="40" spans="1:11" s="14" customFormat="1" ht="12.95" customHeight="1" x14ac:dyDescent="0.3">
      <c r="A40" s="198" t="s">
        <v>58</v>
      </c>
      <c r="B40" s="199"/>
      <c r="C40" s="199"/>
      <c r="D40" s="205"/>
      <c r="E40" s="205"/>
      <c r="F40" s="205"/>
      <c r="G40" s="205"/>
      <c r="H40" s="206"/>
      <c r="I40" s="553">
        <f>SUM(I36:I38)</f>
        <v>3131500</v>
      </c>
      <c r="J40" s="607"/>
    </row>
    <row r="41" spans="1:11" s="16" customFormat="1" ht="15" customHeight="1" x14ac:dyDescent="0.25">
      <c r="B41" s="17"/>
      <c r="H41" s="160"/>
      <c r="I41" s="160"/>
      <c r="J41" s="160"/>
    </row>
    <row r="42" spans="1:11" ht="12.75" customHeight="1" x14ac:dyDescent="0.2">
      <c r="A42" s="161" t="s">
        <v>220</v>
      </c>
      <c r="B42" s="161"/>
      <c r="C42" s="162"/>
      <c r="D42" s="162"/>
      <c r="E42" s="162"/>
      <c r="F42" s="162"/>
      <c r="G42" s="162"/>
      <c r="H42" s="161"/>
      <c r="I42" s="267"/>
      <c r="J42" s="164"/>
    </row>
    <row r="43" spans="1:11" ht="6.75" customHeight="1" x14ac:dyDescent="0.2">
      <c r="A43" s="163"/>
      <c r="B43" s="163"/>
      <c r="C43" s="163"/>
      <c r="D43" s="163"/>
      <c r="E43" s="163"/>
      <c r="F43" s="163"/>
      <c r="G43" s="163"/>
      <c r="I43" s="183"/>
    </row>
    <row r="44" spans="1:11" ht="12.75" customHeight="1" x14ac:dyDescent="0.2">
      <c r="A44" s="164" t="s">
        <v>106</v>
      </c>
      <c r="B44" s="163"/>
      <c r="C44" s="163"/>
      <c r="D44" s="163"/>
      <c r="E44" s="163"/>
      <c r="F44" s="163"/>
      <c r="G44" s="163"/>
      <c r="I44" s="183"/>
    </row>
    <row r="45" spans="1:11" ht="12.75" customHeight="1" x14ac:dyDescent="0.2">
      <c r="A45" s="18"/>
      <c r="B45" s="18"/>
      <c r="E45" s="165"/>
      <c r="F45" s="166" t="s">
        <v>61</v>
      </c>
      <c r="G45" s="166"/>
      <c r="H45" s="647" t="s">
        <v>107</v>
      </c>
      <c r="I45" s="647"/>
      <c r="J45" s="248"/>
    </row>
    <row r="46" spans="1:11" ht="12.75" customHeight="1" x14ac:dyDescent="0.2">
      <c r="B46" s="19" t="s">
        <v>63</v>
      </c>
      <c r="C46" s="35"/>
      <c r="D46" s="35"/>
      <c r="E46" s="118">
        <v>22</v>
      </c>
      <c r="F46" s="167" t="s">
        <v>129</v>
      </c>
      <c r="G46" s="166"/>
      <c r="H46" s="306"/>
      <c r="I46" s="307"/>
      <c r="J46" s="248"/>
    </row>
    <row r="47" spans="1:11" ht="12.75" customHeight="1" x14ac:dyDescent="0.2">
      <c r="B47" s="20" t="s">
        <v>65</v>
      </c>
      <c r="C47" s="36"/>
      <c r="D47" s="36"/>
      <c r="E47" s="119">
        <v>1</v>
      </c>
      <c r="F47" s="168" t="s">
        <v>66</v>
      </c>
      <c r="G47" s="166"/>
      <c r="H47" s="308"/>
      <c r="I47" s="309"/>
      <c r="J47" s="248"/>
    </row>
    <row r="48" spans="1:11" ht="12.75" customHeight="1" x14ac:dyDescent="0.2">
      <c r="B48" s="20" t="s">
        <v>67</v>
      </c>
      <c r="C48" s="36"/>
      <c r="D48" s="36"/>
      <c r="E48" s="119">
        <v>1</v>
      </c>
      <c r="F48" s="168" t="s">
        <v>66</v>
      </c>
      <c r="G48" s="166"/>
      <c r="H48" s="308"/>
      <c r="I48" s="309"/>
      <c r="J48" s="248"/>
    </row>
    <row r="49" spans="1:11" ht="12.75" customHeight="1" x14ac:dyDescent="0.2">
      <c r="B49" s="20" t="s">
        <v>68</v>
      </c>
      <c r="C49" s="36"/>
      <c r="D49" s="36"/>
      <c r="E49" s="119">
        <v>1</v>
      </c>
      <c r="F49" s="168" t="s">
        <v>66</v>
      </c>
      <c r="G49" s="166"/>
      <c r="H49" s="308"/>
      <c r="I49" s="309"/>
      <c r="J49" s="40"/>
    </row>
    <row r="50" spans="1:11" ht="4.5" customHeight="1" x14ac:dyDescent="0.2">
      <c r="A50" s="18"/>
      <c r="B50" s="18"/>
      <c r="E50" s="169"/>
      <c r="F50" s="169"/>
      <c r="G50" s="169"/>
      <c r="H50" s="308"/>
      <c r="I50" s="309"/>
      <c r="J50" s="40"/>
    </row>
    <row r="51" spans="1:11" ht="12.75" customHeight="1" x14ac:dyDescent="0.25">
      <c r="B51" s="562"/>
      <c r="C51" s="350" t="s">
        <v>221</v>
      </c>
      <c r="D51" s="36"/>
      <c r="E51" s="119">
        <v>0</v>
      </c>
      <c r="F51" s="168" t="s">
        <v>70</v>
      </c>
      <c r="G51" s="8"/>
      <c r="H51" s="331"/>
      <c r="I51" s="332"/>
      <c r="J51" s="1"/>
    </row>
    <row r="52" spans="1:11" ht="12.75" customHeight="1" x14ac:dyDescent="0.25">
      <c r="B52" s="562"/>
      <c r="C52" s="350" t="s">
        <v>71</v>
      </c>
      <c r="D52" s="36"/>
      <c r="E52" s="119">
        <v>0</v>
      </c>
      <c r="F52" s="168" t="s">
        <v>72</v>
      </c>
      <c r="G52" s="8"/>
      <c r="H52" s="331"/>
      <c r="I52" s="332"/>
      <c r="J52" s="1"/>
    </row>
    <row r="53" spans="1:11" ht="4.5" customHeight="1" x14ac:dyDescent="0.2">
      <c r="A53" s="18"/>
      <c r="B53" s="18"/>
      <c r="D53" s="171"/>
      <c r="E53" s="171"/>
      <c r="F53" s="171"/>
      <c r="G53" s="8"/>
      <c r="I53" s="245"/>
      <c r="J53" s="1"/>
    </row>
    <row r="54" spans="1:11" ht="12.75" customHeight="1" x14ac:dyDescent="0.2">
      <c r="B54" s="18" t="s">
        <v>75</v>
      </c>
      <c r="C54" s="170"/>
      <c r="D54" s="171"/>
      <c r="E54" s="172">
        <f>SUM(E46:E52)</f>
        <v>25</v>
      </c>
      <c r="F54" s="171"/>
      <c r="G54" s="171"/>
      <c r="J54" s="1"/>
    </row>
    <row r="55" spans="1:11" ht="12.95" customHeight="1" x14ac:dyDescent="0.2">
      <c r="B55" s="18"/>
      <c r="C55" s="171"/>
      <c r="D55" s="171"/>
      <c r="E55" s="171"/>
      <c r="F55" s="171"/>
      <c r="G55" s="171"/>
      <c r="I55" s="245"/>
      <c r="J55" s="1"/>
    </row>
    <row r="56" spans="1:11" ht="12.95" customHeight="1" x14ac:dyDescent="0.2">
      <c r="A56" s="164" t="s">
        <v>76</v>
      </c>
      <c r="B56" s="164"/>
      <c r="C56" s="163"/>
      <c r="D56" s="163"/>
      <c r="E56" s="163"/>
      <c r="F56" s="163"/>
      <c r="G56" s="163"/>
      <c r="H56" s="268"/>
      <c r="I56" s="1"/>
    </row>
    <row r="57" spans="1:11" ht="4.5" customHeight="1" x14ac:dyDescent="0.2">
      <c r="A57" s="164"/>
      <c r="B57" s="164"/>
      <c r="C57" s="164"/>
      <c r="I57" s="1"/>
    </row>
    <row r="58" spans="1:11" ht="12.75" customHeight="1" x14ac:dyDescent="0.2">
      <c r="A58" s="173" t="s">
        <v>77</v>
      </c>
      <c r="B58" s="173"/>
      <c r="E58" s="200">
        <f>I40</f>
        <v>3131500</v>
      </c>
      <c r="H58" s="554"/>
      <c r="I58" s="554"/>
    </row>
    <row r="59" spans="1:11" ht="4.1500000000000004" customHeight="1" x14ac:dyDescent="0.25">
      <c r="A59" s="18"/>
      <c r="B59" s="18"/>
      <c r="C59" s="18"/>
      <c r="D59" s="18"/>
      <c r="E59" s="170"/>
      <c r="I59"/>
      <c r="K59"/>
    </row>
    <row r="60" spans="1:11" ht="13.5" customHeight="1" x14ac:dyDescent="0.3">
      <c r="A60" s="23" t="s">
        <v>191</v>
      </c>
      <c r="B60" s="23"/>
      <c r="E60" s="353">
        <f>0.021*E54+0.761</f>
        <v>1.29</v>
      </c>
      <c r="F60" s="122"/>
      <c r="G60" s="122"/>
      <c r="H60" s="554"/>
      <c r="I60" s="554"/>
      <c r="J60" s="507"/>
      <c r="K60" s="37"/>
    </row>
    <row r="61" spans="1:11" ht="4.1500000000000004" customHeight="1" x14ac:dyDescent="0.25">
      <c r="A61" s="18"/>
      <c r="B61" s="18"/>
      <c r="E61" s="28"/>
      <c r="F61" s="122"/>
      <c r="G61" s="122"/>
      <c r="H61" s="554"/>
      <c r="I61" s="554"/>
      <c r="K61"/>
    </row>
    <row r="62" spans="1:11" s="110" customFormat="1" ht="18" customHeight="1" x14ac:dyDescent="0.25">
      <c r="A62" s="18" t="s">
        <v>222</v>
      </c>
      <c r="B62" s="18"/>
      <c r="E62" s="232">
        <f>ROUND(1.75*(117.07*E58^(-0.41731)*E60/100),6)</f>
        <v>5.1440000000000001E-3</v>
      </c>
      <c r="F62" s="563" t="s">
        <v>80</v>
      </c>
      <c r="G62" s="563"/>
      <c r="H62" s="565"/>
      <c r="I62" s="565"/>
      <c r="J62" s="564"/>
      <c r="K62" s="386"/>
    </row>
    <row r="63" spans="1:11" ht="12.75" customHeight="1" x14ac:dyDescent="0.2">
      <c r="A63" s="18" t="s">
        <v>193</v>
      </c>
      <c r="B63" s="18"/>
      <c r="E63" s="274">
        <v>0</v>
      </c>
      <c r="F63" s="208"/>
      <c r="H63" s="554"/>
      <c r="I63" s="554"/>
      <c r="J63" s="507"/>
      <c r="K63" s="37"/>
    </row>
    <row r="64" spans="1:11" ht="4.1500000000000004" customHeight="1" x14ac:dyDescent="0.25">
      <c r="A64" s="18"/>
      <c r="B64" s="18"/>
      <c r="E64" s="174"/>
      <c r="F64" s="174"/>
      <c r="G64" s="174"/>
      <c r="I64"/>
      <c r="K64"/>
    </row>
    <row r="65" spans="1:11" ht="15" customHeight="1" x14ac:dyDescent="0.3">
      <c r="A65" s="21" t="s">
        <v>194</v>
      </c>
      <c r="B65" s="19"/>
      <c r="C65" s="175"/>
      <c r="D65" s="175"/>
      <c r="E65" s="176"/>
      <c r="F65" s="271">
        <f>E58*E62*(1+E63)</f>
        <v>16108</v>
      </c>
      <c r="H65" s="1"/>
      <c r="I65" s="1"/>
    </row>
    <row r="66" spans="1:11" ht="4.1500000000000004" customHeight="1" x14ac:dyDescent="0.25">
      <c r="A66" s="23"/>
      <c r="B66" s="18"/>
      <c r="C66" s="163"/>
      <c r="D66" s="163"/>
      <c r="E66" s="177"/>
      <c r="F66" s="313"/>
      <c r="G66" s="177"/>
      <c r="I66" s="29"/>
      <c r="K66"/>
    </row>
    <row r="67" spans="1:11" ht="12.95" customHeight="1" x14ac:dyDescent="0.2">
      <c r="A67" s="23"/>
      <c r="B67" s="18"/>
      <c r="C67" s="163"/>
      <c r="D67" s="337" t="s">
        <v>84</v>
      </c>
      <c r="E67" s="338" t="s">
        <v>60</v>
      </c>
      <c r="F67" s="177"/>
      <c r="G67" s="177"/>
      <c r="I67" s="29"/>
    </row>
    <row r="68" spans="1:11" ht="12.75" customHeight="1" x14ac:dyDescent="0.25">
      <c r="A68" s="163" t="s">
        <v>139</v>
      </c>
      <c r="B68" s="163"/>
      <c r="D68" s="339">
        <v>0.03</v>
      </c>
      <c r="E68" s="224">
        <v>0.03</v>
      </c>
      <c r="F68" s="234">
        <f>$F$65*E68</f>
        <v>483</v>
      </c>
      <c r="G68" s="183"/>
      <c r="I68"/>
    </row>
    <row r="69" spans="1:11" ht="12.75" customHeight="1" x14ac:dyDescent="0.25">
      <c r="A69" s="163" t="s">
        <v>86</v>
      </c>
      <c r="B69" s="163"/>
      <c r="D69" s="339">
        <v>0.17</v>
      </c>
      <c r="E69" s="225">
        <v>0.17</v>
      </c>
      <c r="F69" s="234">
        <f t="shared" ref="F69:F77" si="1">$F$65*E69</f>
        <v>2738</v>
      </c>
      <c r="G69" s="183"/>
      <c r="I69"/>
    </row>
    <row r="70" spans="1:11" ht="12.75" customHeight="1" x14ac:dyDescent="0.25">
      <c r="A70" s="163" t="s">
        <v>87</v>
      </c>
      <c r="B70" s="163"/>
      <c r="D70" s="339">
        <v>0.35</v>
      </c>
      <c r="E70" s="225">
        <v>0.35</v>
      </c>
      <c r="F70" s="234">
        <f t="shared" si="1"/>
        <v>5638</v>
      </c>
      <c r="G70" s="183"/>
      <c r="I70"/>
    </row>
    <row r="71" spans="1:11" ht="12.75" customHeight="1" x14ac:dyDescent="0.25">
      <c r="A71" s="163" t="s">
        <v>88</v>
      </c>
      <c r="B71" s="163"/>
      <c r="D71" s="339">
        <v>0.05</v>
      </c>
      <c r="E71" s="225">
        <v>0.05</v>
      </c>
      <c r="F71" s="234">
        <f t="shared" si="1"/>
        <v>805</v>
      </c>
      <c r="G71" s="183"/>
      <c r="I71"/>
    </row>
    <row r="72" spans="1:11" ht="12.75" customHeight="1" x14ac:dyDescent="0.25">
      <c r="A72" s="163" t="s">
        <v>195</v>
      </c>
      <c r="B72" s="163"/>
      <c r="D72" s="339">
        <v>0.27</v>
      </c>
      <c r="E72" s="225">
        <v>0.27</v>
      </c>
      <c r="F72" s="234">
        <f t="shared" si="1"/>
        <v>4349</v>
      </c>
      <c r="G72" s="183"/>
      <c r="I72"/>
    </row>
    <row r="73" spans="1:11" ht="12.75" customHeight="1" x14ac:dyDescent="0.25">
      <c r="A73" s="163" t="s">
        <v>90</v>
      </c>
      <c r="B73" s="163"/>
      <c r="D73" s="339">
        <v>0.02</v>
      </c>
      <c r="E73" s="225">
        <v>0.02</v>
      </c>
      <c r="F73" s="234">
        <f t="shared" si="1"/>
        <v>322</v>
      </c>
      <c r="G73" s="183"/>
      <c r="I73"/>
    </row>
    <row r="74" spans="1:11" ht="12.75" customHeight="1" x14ac:dyDescent="0.25">
      <c r="A74" s="163" t="s">
        <v>196</v>
      </c>
      <c r="B74" s="163"/>
      <c r="D74" s="339">
        <v>0.02</v>
      </c>
      <c r="E74" s="225">
        <v>0.02</v>
      </c>
      <c r="F74" s="234">
        <f t="shared" si="1"/>
        <v>322</v>
      </c>
      <c r="G74" s="183"/>
      <c r="I74"/>
    </row>
    <row r="75" spans="1:11" ht="12.75" customHeight="1" x14ac:dyDescent="0.25">
      <c r="A75" s="163" t="s">
        <v>113</v>
      </c>
      <c r="B75" s="163"/>
      <c r="D75" s="339">
        <v>0.09</v>
      </c>
      <c r="E75" s="225">
        <v>0.09</v>
      </c>
      <c r="F75" s="234">
        <f t="shared" si="1"/>
        <v>1450</v>
      </c>
      <c r="G75" s="183"/>
      <c r="I75"/>
    </row>
    <row r="76" spans="1:11" ht="12.75" customHeight="1" x14ac:dyDescent="0.25">
      <c r="A76" s="163" t="s">
        <v>197</v>
      </c>
      <c r="B76" s="163"/>
      <c r="D76" s="339">
        <v>0</v>
      </c>
      <c r="E76" s="225">
        <v>0</v>
      </c>
      <c r="F76" s="234">
        <f t="shared" si="1"/>
        <v>0</v>
      </c>
      <c r="G76" s="183"/>
      <c r="I76"/>
    </row>
    <row r="77" spans="1:11" ht="12.75" customHeight="1" x14ac:dyDescent="0.25">
      <c r="A77" s="175" t="s">
        <v>115</v>
      </c>
      <c r="B77" s="175"/>
      <c r="C77" s="35"/>
      <c r="D77" s="340">
        <v>0</v>
      </c>
      <c r="E77" s="226">
        <v>0</v>
      </c>
      <c r="F77" s="237">
        <f t="shared" si="1"/>
        <v>0</v>
      </c>
      <c r="G77" s="8"/>
      <c r="I77"/>
    </row>
    <row r="78" spans="1:11" s="16" customFormat="1" ht="18.75" customHeight="1" x14ac:dyDescent="0.25">
      <c r="A78" s="381" t="s">
        <v>116</v>
      </c>
      <c r="B78" s="382"/>
      <c r="D78" s="627">
        <f>SUM(D68:D77)</f>
        <v>1</v>
      </c>
      <c r="E78" s="383">
        <f>SUM(E68:E77)</f>
        <v>1</v>
      </c>
      <c r="F78" s="372">
        <f>SUM(F68:F77)</f>
        <v>16107</v>
      </c>
      <c r="G78" s="383"/>
      <c r="H78" s="383"/>
      <c r="I78" s="550"/>
    </row>
    <row r="79" spans="1:11" ht="12.75" customHeight="1" x14ac:dyDescent="0.2">
      <c r="A79" s="551" t="s">
        <v>235</v>
      </c>
      <c r="B79" s="180"/>
      <c r="C79" s="35"/>
      <c r="D79" s="517">
        <v>0.02</v>
      </c>
      <c r="E79" s="374">
        <v>0.02</v>
      </c>
      <c r="F79" s="184">
        <f>$F$65*E79</f>
        <v>322</v>
      </c>
      <c r="G79" s="604"/>
      <c r="H79" s="184"/>
      <c r="I79" s="606"/>
    </row>
    <row r="80" spans="1:11" s="16" customFormat="1" ht="12.75" customHeight="1" x14ac:dyDescent="0.2">
      <c r="A80" s="649" t="s">
        <v>252</v>
      </c>
      <c r="B80" s="649"/>
      <c r="C80" s="649"/>
      <c r="D80" s="627">
        <f>SUM(D78:D79)</f>
        <v>1.02</v>
      </c>
      <c r="E80" s="383">
        <f>SUM(E78:E79)</f>
        <v>1.02</v>
      </c>
      <c r="F80" s="372">
        <f>SUM(F79,F78)</f>
        <v>16429</v>
      </c>
      <c r="H80" s="499"/>
      <c r="I80" s="99">
        <f>F80</f>
        <v>16429</v>
      </c>
    </row>
    <row r="81" spans="1:13" ht="15" customHeight="1" x14ac:dyDescent="0.2">
      <c r="A81" s="181"/>
      <c r="B81" s="18"/>
      <c r="D81" s="179"/>
      <c r="E81" s="179"/>
      <c r="F81" s="185"/>
      <c r="G81" s="8"/>
      <c r="I81" s="317"/>
      <c r="J81" s="1"/>
    </row>
    <row r="82" spans="1:13" ht="12.75" customHeight="1" x14ac:dyDescent="0.25">
      <c r="A82" s="33" t="s">
        <v>98</v>
      </c>
      <c r="E82" s="555">
        <v>0</v>
      </c>
      <c r="F82" s="231">
        <v>0</v>
      </c>
      <c r="G82" s="372"/>
      <c r="I82" s="451">
        <f>E82*F82</f>
        <v>0</v>
      </c>
      <c r="K82"/>
      <c r="L82"/>
      <c r="M82"/>
    </row>
    <row r="83" spans="1:13" ht="4.1500000000000004" customHeight="1" x14ac:dyDescent="0.25">
      <c r="E83" s="32"/>
      <c r="I83"/>
      <c r="K83"/>
    </row>
    <row r="84" spans="1:13" s="23" customFormat="1" ht="12.75" x14ac:dyDescent="0.2">
      <c r="A84" s="94" t="s">
        <v>223</v>
      </c>
      <c r="B84" s="95"/>
      <c r="C84" s="96"/>
      <c r="D84" s="98"/>
      <c r="E84" s="109"/>
      <c r="F84" s="97"/>
      <c r="G84" s="97"/>
      <c r="H84" s="97"/>
      <c r="I84" s="99">
        <f>I80+I82</f>
        <v>16429</v>
      </c>
    </row>
    <row r="85" spans="1:13" s="23" customFormat="1" ht="4.5" customHeight="1" x14ac:dyDescent="0.2">
      <c r="B85" s="24"/>
      <c r="C85" s="25"/>
      <c r="D85" s="47"/>
      <c r="E85" s="219"/>
      <c r="F85" s="48"/>
      <c r="G85" s="48"/>
      <c r="I85" s="91"/>
    </row>
    <row r="86" spans="1:13" s="23" customFormat="1" ht="12.75" x14ac:dyDescent="0.2">
      <c r="A86" s="49" t="s">
        <v>40</v>
      </c>
      <c r="B86" s="24"/>
      <c r="C86" s="25"/>
      <c r="D86" s="47"/>
      <c r="E86" s="220">
        <v>0.04</v>
      </c>
      <c r="F86" s="48"/>
      <c r="G86" s="48"/>
      <c r="I86" s="91">
        <f>ROUND(I84*E86,2)</f>
        <v>657</v>
      </c>
    </row>
    <row r="87" spans="1:13" s="23" customFormat="1" ht="3" customHeight="1" x14ac:dyDescent="0.2">
      <c r="A87" s="50"/>
      <c r="B87" s="51"/>
      <c r="C87" s="52"/>
      <c r="D87" s="56"/>
      <c r="E87" s="221"/>
      <c r="F87" s="57"/>
      <c r="G87" s="57"/>
      <c r="H87" s="50"/>
      <c r="I87" s="93"/>
    </row>
    <row r="88" spans="1:13" s="23" customFormat="1" ht="3" customHeight="1" x14ac:dyDescent="0.2">
      <c r="B88" s="24"/>
      <c r="C88" s="25"/>
      <c r="D88" s="58"/>
      <c r="E88" s="222"/>
      <c r="F88" s="65"/>
      <c r="G88" s="65"/>
      <c r="H88" s="59"/>
      <c r="I88" s="91"/>
    </row>
    <row r="89" spans="1:13" s="23" customFormat="1" ht="12.75" x14ac:dyDescent="0.2">
      <c r="A89" s="53" t="s">
        <v>224</v>
      </c>
      <c r="B89" s="54"/>
      <c r="C89" s="55"/>
      <c r="D89" s="26"/>
      <c r="E89" s="219"/>
      <c r="F89" s="48"/>
      <c r="G89" s="48"/>
      <c r="I89" s="92">
        <f>I84+I86</f>
        <v>17086</v>
      </c>
    </row>
    <row r="90" spans="1:13" s="23" customFormat="1" ht="12.75" x14ac:dyDescent="0.2">
      <c r="A90" s="23" t="s">
        <v>48</v>
      </c>
      <c r="B90" s="24"/>
      <c r="C90" s="25"/>
      <c r="D90" s="26"/>
      <c r="E90" s="27">
        <v>0.2</v>
      </c>
      <c r="F90" s="27"/>
      <c r="G90" s="27"/>
      <c r="I90" s="91">
        <f>ROUND(I89*E90,2)</f>
        <v>3417</v>
      </c>
    </row>
    <row r="91" spans="1:13" s="23" customFormat="1" ht="3" customHeight="1" x14ac:dyDescent="0.2">
      <c r="B91" s="24"/>
      <c r="C91" s="25"/>
      <c r="D91" s="26"/>
      <c r="E91" s="48"/>
      <c r="F91" s="48"/>
      <c r="G91" s="48"/>
      <c r="I91" s="91"/>
    </row>
    <row r="92" spans="1:13" s="23" customFormat="1" ht="12.75" x14ac:dyDescent="0.2">
      <c r="A92" s="191" t="s">
        <v>225</v>
      </c>
      <c r="B92" s="201"/>
      <c r="C92" s="192"/>
      <c r="D92" s="194"/>
      <c r="E92" s="195"/>
      <c r="F92" s="195"/>
      <c r="G92" s="195"/>
      <c r="H92" s="193"/>
      <c r="I92" s="196">
        <f>SUM(I88:I90)</f>
        <v>20503</v>
      </c>
    </row>
    <row r="93" spans="1:13" ht="5.0999999999999996" customHeight="1" x14ac:dyDescent="0.2"/>
    <row r="94" spans="1:13" ht="12.75" x14ac:dyDescent="0.2">
      <c r="A94" s="203" t="s">
        <v>120</v>
      </c>
      <c r="E94" s="270">
        <f>I89/E36</f>
        <v>4.2100000000000002E-3</v>
      </c>
    </row>
  </sheetData>
  <sheetProtection algorithmName="SHA-512" hashValue="JabwlRflBmTPaZBzNb+btWQtEBFgWzBW2e8XCdFJf/8Y38IHY4XCMFMcj6VZLdfLvCvaxWYw1KnZNBZ40VrOEQ==" saltValue="2mXlMwTnIeBU+Z9UsgnM4g==" spinCount="100000" sheet="1" objects="1" scenarios="1"/>
  <mergeCells count="12">
    <mergeCell ref="H45:I45"/>
    <mergeCell ref="A23:B23"/>
    <mergeCell ref="H2:I2"/>
    <mergeCell ref="A7:B7"/>
    <mergeCell ref="A9:B9"/>
    <mergeCell ref="A11:B11"/>
    <mergeCell ref="A21:B21"/>
    <mergeCell ref="A80:C80"/>
    <mergeCell ref="A28:B28"/>
    <mergeCell ref="A30:B30"/>
    <mergeCell ref="A32:B32"/>
    <mergeCell ref="A34:B34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8" name="Scroll Bar 5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9" name="Scroll Bar 6">
              <controlPr defaultSize="0" autoPict="0">
                <anchor moveWithCells="1">
                  <from>
                    <xdr:col>7</xdr:col>
                    <xdr:colOff>19050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2">
    <tabColor theme="6"/>
  </sheetPr>
  <dimension ref="A1:N93"/>
  <sheetViews>
    <sheetView showGridLines="0" zoomScaleNormal="100" zoomScaleSheetLayoutView="100" workbookViewId="0">
      <selection activeCell="O35" sqref="O35"/>
    </sheetView>
  </sheetViews>
  <sheetFormatPr baseColWidth="10" defaultColWidth="11.5703125" defaultRowHeight="15" x14ac:dyDescent="0.25"/>
  <cols>
    <col min="1" max="1" width="1.5703125" style="1" customWidth="1"/>
    <col min="2" max="2" width="3.28515625" style="7" customWidth="1"/>
    <col min="3" max="3" width="38.7109375" style="1" customWidth="1"/>
    <col min="4" max="4" width="8.28515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8" customWidth="1" collapsed="1"/>
    <col min="9" max="9" width="15.7109375" style="9" customWidth="1"/>
    <col min="10" max="10" width="3.28515625" style="9" customWidth="1"/>
    <col min="12" max="16384" width="11.5703125" style="1"/>
  </cols>
  <sheetData>
    <row r="1" spans="1:12" ht="5.0999999999999996" customHeight="1" x14ac:dyDescent="0.25"/>
    <row r="2" spans="1:12" ht="10.5" customHeight="1" x14ac:dyDescent="0.25">
      <c r="I2" s="252"/>
      <c r="L2"/>
    </row>
    <row r="3" spans="1:12" s="37" customFormat="1" ht="35.1" customHeight="1" x14ac:dyDescent="0.25">
      <c r="A3" s="107" t="s">
        <v>51</v>
      </c>
      <c r="F3" s="510"/>
      <c r="G3" s="510"/>
      <c r="H3" s="644" t="s">
        <v>1</v>
      </c>
      <c r="I3" s="644"/>
      <c r="J3" s="43"/>
      <c r="K3" s="39"/>
    </row>
    <row r="4" spans="1:12" s="10" customFormat="1" ht="6" customHeight="1" x14ac:dyDescent="0.25">
      <c r="A4" s="73"/>
      <c r="B4" s="73"/>
      <c r="C4" s="73"/>
      <c r="D4" s="73"/>
      <c r="E4" s="73"/>
      <c r="F4" s="73"/>
      <c r="G4" s="73"/>
      <c r="H4" s="73"/>
      <c r="I4" s="74"/>
      <c r="J4" s="2"/>
    </row>
    <row r="5" spans="1:12" s="10" customFormat="1" ht="6" customHeight="1" x14ac:dyDescent="0.25">
      <c r="I5" s="2"/>
      <c r="J5" s="2"/>
    </row>
    <row r="6" spans="1:12" s="10" customFormat="1" ht="12.95" customHeight="1" x14ac:dyDescent="0.25">
      <c r="D6" s="69" t="s">
        <v>2</v>
      </c>
      <c r="E6" s="30" t="s">
        <v>3</v>
      </c>
      <c r="F6" s="30"/>
      <c r="G6" s="30"/>
      <c r="H6" s="12" t="s">
        <v>52</v>
      </c>
      <c r="I6" s="89" t="s">
        <v>53</v>
      </c>
      <c r="J6" s="30"/>
    </row>
    <row r="7" spans="1:12" s="10" customFormat="1" ht="6" customHeight="1" x14ac:dyDescent="0.25">
      <c r="E7" s="67"/>
      <c r="I7" s="2"/>
      <c r="J7" s="2"/>
    </row>
    <row r="8" spans="1:12" s="11" customFormat="1" ht="12.95" customHeight="1" x14ac:dyDescent="0.2">
      <c r="A8" s="645">
        <v>1</v>
      </c>
      <c r="B8" s="645"/>
      <c r="C8" s="76" t="s">
        <v>4</v>
      </c>
      <c r="D8" s="138">
        <f>E8/$E$29</f>
        <v>2E-3</v>
      </c>
      <c r="E8" s="318">
        <f>_1</f>
        <v>10000</v>
      </c>
      <c r="F8" s="263"/>
      <c r="G8" s="263"/>
      <c r="H8" s="346">
        <v>0</v>
      </c>
      <c r="I8" s="327">
        <f>E8*H8</f>
        <v>0</v>
      </c>
      <c r="J8" s="34"/>
    </row>
    <row r="9" spans="1:12" ht="2.25" customHeight="1" x14ac:dyDescent="0.25">
      <c r="B9" s="4"/>
      <c r="D9" s="139"/>
      <c r="E9" s="44"/>
      <c r="F9" s="33"/>
      <c r="G9" s="33"/>
      <c r="H9" s="512"/>
      <c r="I9" s="44"/>
      <c r="J9" s="44"/>
    </row>
    <row r="10" spans="1:12" s="11" customFormat="1" ht="12.75" customHeight="1" x14ac:dyDescent="0.2">
      <c r="A10" s="645">
        <v>2</v>
      </c>
      <c r="B10" s="645"/>
      <c r="C10" s="76" t="s">
        <v>5</v>
      </c>
      <c r="D10" s="138">
        <f>E10/$E$29</f>
        <v>0.37</v>
      </c>
      <c r="E10" s="318">
        <f>_2</f>
        <v>1500000</v>
      </c>
      <c r="F10" s="263"/>
      <c r="G10" s="263"/>
      <c r="H10" s="346">
        <v>1</v>
      </c>
      <c r="I10" s="329">
        <f>E10*H10</f>
        <v>1500000</v>
      </c>
      <c r="J10" s="34"/>
    </row>
    <row r="11" spans="1:12" ht="2.25" customHeight="1" x14ac:dyDescent="0.25">
      <c r="D11" s="138"/>
      <c r="E11" s="34"/>
      <c r="F11" s="33"/>
      <c r="G11" s="33"/>
      <c r="H11" s="512"/>
      <c r="I11" s="34"/>
      <c r="J11" s="34"/>
    </row>
    <row r="12" spans="1:12" s="10" customFormat="1" ht="12.95" customHeight="1" x14ac:dyDescent="0.2">
      <c r="A12" s="645">
        <v>3</v>
      </c>
      <c r="B12" s="645"/>
      <c r="C12" s="76" t="s">
        <v>6</v>
      </c>
      <c r="D12" s="138">
        <f>E12/$E$29</f>
        <v>0.14899999999999999</v>
      </c>
      <c r="E12" s="318">
        <f>_3</f>
        <v>605000</v>
      </c>
      <c r="F12" s="263"/>
      <c r="G12" s="263"/>
      <c r="H12" s="346">
        <v>1</v>
      </c>
      <c r="I12" s="329">
        <f>E12*H12</f>
        <v>605000</v>
      </c>
      <c r="J12" s="34"/>
    </row>
    <row r="13" spans="1:12" ht="2.25" customHeight="1" x14ac:dyDescent="0.25">
      <c r="D13" s="139"/>
      <c r="E13" s="34"/>
      <c r="F13" s="33"/>
      <c r="G13" s="33"/>
      <c r="H13" s="513"/>
      <c r="I13" s="34"/>
      <c r="J13" s="158"/>
    </row>
    <row r="14" spans="1:12" s="10" customFormat="1" ht="12.75" customHeight="1" x14ac:dyDescent="0.2">
      <c r="A14" s="645">
        <v>4</v>
      </c>
      <c r="B14" s="645"/>
      <c r="C14" s="76" t="s">
        <v>23</v>
      </c>
      <c r="D14" s="138">
        <f>E14/$E$29</f>
        <v>0.19700000000000001</v>
      </c>
      <c r="E14" s="318">
        <f>_4</f>
        <v>800000</v>
      </c>
      <c r="F14" s="263"/>
      <c r="G14" s="263"/>
      <c r="H14" s="546">
        <v>1</v>
      </c>
      <c r="I14" s="318">
        <f>E14*H14</f>
        <v>800000</v>
      </c>
      <c r="J14" s="34"/>
    </row>
    <row r="15" spans="1:12" ht="2.25" customHeight="1" x14ac:dyDescent="0.25">
      <c r="B15" s="4"/>
      <c r="D15" s="139"/>
      <c r="E15" s="34"/>
      <c r="F15" s="33"/>
      <c r="G15" s="33"/>
      <c r="H15" s="512"/>
      <c r="I15" s="34"/>
      <c r="J15" s="33"/>
    </row>
    <row r="16" spans="1:12" s="11" customFormat="1" ht="12.95" customHeight="1" x14ac:dyDescent="0.2">
      <c r="A16" s="645">
        <v>5</v>
      </c>
      <c r="B16" s="645"/>
      <c r="C16" s="76" t="s">
        <v>24</v>
      </c>
      <c r="D16" s="138">
        <f>E16/$E$29</f>
        <v>2.5000000000000001E-2</v>
      </c>
      <c r="E16" s="318">
        <f>_5</f>
        <v>100000</v>
      </c>
      <c r="F16" s="263"/>
      <c r="G16" s="263"/>
      <c r="H16" s="514"/>
      <c r="I16" s="34"/>
      <c r="J16" s="34"/>
    </row>
    <row r="17" spans="1:13" s="11" customFormat="1" ht="12.95" customHeight="1" x14ac:dyDescent="0.2">
      <c r="A17" s="291">
        <v>5</v>
      </c>
      <c r="B17" s="84" t="s">
        <v>7</v>
      </c>
      <c r="C17" s="84" t="s">
        <v>25</v>
      </c>
      <c r="D17" s="138"/>
      <c r="E17" s="516">
        <f>_5.01</f>
        <v>60000</v>
      </c>
      <c r="F17" s="263"/>
      <c r="G17" s="263"/>
      <c r="H17" s="346">
        <v>1</v>
      </c>
      <c r="I17" s="547">
        <f>E17*H17</f>
        <v>60000</v>
      </c>
      <c r="J17" s="34"/>
    </row>
    <row r="18" spans="1:13" s="11" customFormat="1" ht="12.95" customHeight="1" x14ac:dyDescent="0.2">
      <c r="A18" s="291">
        <v>5</v>
      </c>
      <c r="B18" s="84" t="s">
        <v>9</v>
      </c>
      <c r="C18" s="84" t="s">
        <v>26</v>
      </c>
      <c r="D18" s="138"/>
      <c r="E18" s="516">
        <f>_5.02</f>
        <v>40000</v>
      </c>
      <c r="F18" s="263"/>
      <c r="G18" s="263"/>
      <c r="H18" s="548">
        <v>0.6</v>
      </c>
      <c r="I18" s="326">
        <f>E18*H18</f>
        <v>24000</v>
      </c>
      <c r="J18" s="34"/>
    </row>
    <row r="19" spans="1:13" s="11" customFormat="1" ht="12.95" customHeight="1" x14ac:dyDescent="0.2">
      <c r="A19" s="291">
        <v>5</v>
      </c>
      <c r="B19" s="84" t="s">
        <v>11</v>
      </c>
      <c r="C19" s="84" t="s">
        <v>27</v>
      </c>
      <c r="D19" s="138"/>
      <c r="E19" s="516">
        <f>_5.03</f>
        <v>0</v>
      </c>
      <c r="F19" s="263"/>
      <c r="G19" s="263"/>
      <c r="H19" s="347">
        <v>0</v>
      </c>
      <c r="I19" s="549">
        <f>E19*H19</f>
        <v>0</v>
      </c>
      <c r="J19" s="34"/>
    </row>
    <row r="20" spans="1:13" ht="2.25" customHeight="1" x14ac:dyDescent="0.25">
      <c r="D20" s="139"/>
      <c r="E20" s="34"/>
      <c r="F20" s="33"/>
      <c r="G20" s="33"/>
      <c r="H20" s="515"/>
      <c r="I20" s="34"/>
      <c r="J20" s="34"/>
    </row>
    <row r="21" spans="1:13" s="10" customFormat="1" ht="12.75" customHeight="1" x14ac:dyDescent="0.2">
      <c r="A21" s="645">
        <v>6</v>
      </c>
      <c r="B21" s="645"/>
      <c r="C21" s="76" t="s">
        <v>28</v>
      </c>
      <c r="D21" s="138">
        <f>E21/$E$29</f>
        <v>1.6E-2</v>
      </c>
      <c r="E21" s="318">
        <f>_6</f>
        <v>65000</v>
      </c>
      <c r="F21" s="263"/>
      <c r="G21" s="263"/>
      <c r="H21" s="346">
        <v>1</v>
      </c>
      <c r="I21" s="329">
        <f>E21*H21</f>
        <v>65000</v>
      </c>
      <c r="J21" s="34"/>
    </row>
    <row r="22" spans="1:13" ht="2.25" customHeight="1" x14ac:dyDescent="0.25">
      <c r="B22" s="13"/>
      <c r="D22" s="142"/>
      <c r="E22" s="34"/>
      <c r="F22" s="33"/>
      <c r="G22" s="33"/>
      <c r="H22" s="512"/>
      <c r="I22" s="34"/>
      <c r="J22" s="34"/>
    </row>
    <row r="23" spans="1:13" s="11" customFormat="1" ht="12.95" customHeight="1" x14ac:dyDescent="0.2">
      <c r="A23" s="645">
        <v>7</v>
      </c>
      <c r="B23" s="645"/>
      <c r="C23" s="76" t="s">
        <v>54</v>
      </c>
      <c r="D23" s="138">
        <f>E23/$E$29</f>
        <v>0.185</v>
      </c>
      <c r="E23" s="318">
        <f>_7</f>
        <v>750000</v>
      </c>
      <c r="F23" s="263"/>
      <c r="G23" s="263"/>
      <c r="H23" s="346">
        <v>0</v>
      </c>
      <c r="I23" s="329">
        <f>E23*H23</f>
        <v>0</v>
      </c>
      <c r="J23" s="34"/>
    </row>
    <row r="24" spans="1:13" ht="2.25" customHeight="1" x14ac:dyDescent="0.25">
      <c r="D24" s="142"/>
      <c r="E24" s="34"/>
      <c r="F24" s="33"/>
      <c r="G24" s="33"/>
      <c r="H24" s="512"/>
      <c r="I24" s="34"/>
      <c r="J24" s="34"/>
    </row>
    <row r="25" spans="1:13" s="11" customFormat="1" ht="12.95" customHeight="1" x14ac:dyDescent="0.2">
      <c r="A25" s="645">
        <v>8</v>
      </c>
      <c r="B25" s="645"/>
      <c r="C25" s="76" t="s">
        <v>55</v>
      </c>
      <c r="D25" s="138">
        <f>E25/$E$29</f>
        <v>1E-3</v>
      </c>
      <c r="E25" s="318">
        <f>_8</f>
        <v>3600</v>
      </c>
      <c r="F25" s="263"/>
      <c r="G25" s="263"/>
      <c r="H25" s="346">
        <v>0</v>
      </c>
      <c r="I25" s="318">
        <f>E25*H25</f>
        <v>0</v>
      </c>
      <c r="J25" s="34"/>
    </row>
    <row r="26" spans="1:13" ht="2.25" customHeight="1" x14ac:dyDescent="0.25">
      <c r="D26" s="142"/>
      <c r="E26" s="34"/>
      <c r="F26" s="33"/>
      <c r="G26" s="33"/>
      <c r="H26" s="513"/>
      <c r="I26" s="34"/>
      <c r="J26" s="158"/>
    </row>
    <row r="27" spans="1:13" s="11" customFormat="1" ht="12.95" customHeight="1" x14ac:dyDescent="0.2">
      <c r="A27" s="645">
        <v>9</v>
      </c>
      <c r="B27" s="645"/>
      <c r="C27" s="76" t="s">
        <v>31</v>
      </c>
      <c r="D27" s="138">
        <f>E27/_1_9</f>
        <v>5.5E-2</v>
      </c>
      <c r="E27" s="318">
        <f>_9</f>
        <v>225000</v>
      </c>
      <c r="F27" s="263"/>
      <c r="G27" s="263"/>
      <c r="H27" s="346">
        <v>0.4</v>
      </c>
      <c r="I27" s="329">
        <f>E27*H27</f>
        <v>90000</v>
      </c>
      <c r="J27" s="34"/>
    </row>
    <row r="28" spans="1:13" ht="12" customHeight="1" x14ac:dyDescent="0.25">
      <c r="B28" s="13"/>
      <c r="D28" s="32"/>
      <c r="E28" s="34"/>
      <c r="F28" s="33"/>
      <c r="G28" s="33"/>
      <c r="H28" s="33"/>
      <c r="I28" s="34"/>
      <c r="J28" s="1"/>
    </row>
    <row r="29" spans="1:13" s="110" customFormat="1" ht="14.25" customHeight="1" x14ac:dyDescent="0.25">
      <c r="A29" s="113" t="s">
        <v>56</v>
      </c>
      <c r="B29" s="114"/>
      <c r="C29" s="114"/>
      <c r="D29" s="116">
        <f>SUM(D8:D27)</f>
        <v>1</v>
      </c>
      <c r="E29" s="301">
        <f>_EK</f>
        <v>4058600</v>
      </c>
      <c r="F29" s="263"/>
      <c r="G29" s="263"/>
      <c r="H29" s="263"/>
      <c r="I29" s="301">
        <f>SUM(I8:I27)</f>
        <v>3144000</v>
      </c>
      <c r="J29" s="3"/>
      <c r="K29" s="117"/>
    </row>
    <row r="30" spans="1:13" ht="4.5" customHeight="1" x14ac:dyDescent="0.25">
      <c r="D30" s="32"/>
      <c r="E30" s="34"/>
      <c r="F30" s="33"/>
      <c r="G30" s="33"/>
      <c r="H30" s="360"/>
      <c r="I30" s="44"/>
      <c r="K30" s="22"/>
      <c r="L30"/>
      <c r="M30"/>
    </row>
    <row r="31" spans="1:13" s="10" customFormat="1" ht="12.95" customHeight="1" x14ac:dyDescent="0.2">
      <c r="A31" s="302"/>
      <c r="B31" s="75" t="s">
        <v>57</v>
      </c>
      <c r="C31" s="76"/>
      <c r="D31" s="212"/>
      <c r="E31" s="516">
        <f>_mvB</f>
        <v>120000</v>
      </c>
      <c r="F31" s="263"/>
      <c r="G31" s="263"/>
      <c r="H31" s="347">
        <v>1</v>
      </c>
      <c r="I31" s="329">
        <f>E31*H31</f>
        <v>120000</v>
      </c>
    </row>
    <row r="32" spans="1:13" ht="4.5" customHeight="1" x14ac:dyDescent="0.25">
      <c r="D32" s="32"/>
      <c r="E32" s="33"/>
      <c r="F32" s="33"/>
      <c r="G32" s="33"/>
      <c r="H32" s="360"/>
      <c r="I32" s="44"/>
      <c r="K32" s="22"/>
      <c r="L32"/>
      <c r="M32"/>
    </row>
    <row r="33" spans="1:10" s="112" customFormat="1" ht="12.95" customHeight="1" x14ac:dyDescent="0.25">
      <c r="A33" s="198" t="s">
        <v>58</v>
      </c>
      <c r="B33" s="272"/>
      <c r="C33" s="272"/>
      <c r="D33" s="272"/>
      <c r="E33" s="272"/>
      <c r="F33" s="272"/>
      <c r="G33" s="272"/>
      <c r="H33" s="273"/>
      <c r="I33" s="200">
        <f>SUM(I29:I31)</f>
        <v>3264000</v>
      </c>
      <c r="J33" s="115"/>
    </row>
    <row r="34" spans="1:10" ht="13.5" customHeight="1" x14ac:dyDescent="0.25">
      <c r="A34" s="163"/>
      <c r="B34" s="163"/>
      <c r="C34" s="163"/>
      <c r="D34" s="163"/>
      <c r="E34" s="163"/>
      <c r="F34" s="163"/>
      <c r="G34" s="163"/>
      <c r="I34" s="183"/>
    </row>
    <row r="35" spans="1:10" s="112" customFormat="1" ht="12.95" customHeight="1" x14ac:dyDescent="0.25">
      <c r="A35" s="161" t="s">
        <v>59</v>
      </c>
      <c r="B35" s="238"/>
      <c r="C35" s="238"/>
      <c r="D35" s="238"/>
      <c r="E35" s="238"/>
      <c r="F35" s="238"/>
      <c r="G35" s="238"/>
      <c r="H35" s="238"/>
      <c r="I35" s="238"/>
      <c r="J35" s="115"/>
    </row>
    <row r="36" spans="1:10" s="10" customFormat="1" ht="3.95" customHeight="1" x14ac:dyDescent="0.25">
      <c r="I36" s="2"/>
      <c r="J36" s="2"/>
    </row>
    <row r="37" spans="1:10" ht="12.75" customHeight="1" x14ac:dyDescent="0.25">
      <c r="A37" s="18"/>
      <c r="B37" s="18"/>
      <c r="E37" s="165" t="s">
        <v>60</v>
      </c>
      <c r="F37" s="166" t="s">
        <v>61</v>
      </c>
      <c r="G37" s="511"/>
      <c r="H37" s="647" t="s">
        <v>243</v>
      </c>
      <c r="I37" s="647"/>
      <c r="J37" s="248"/>
    </row>
    <row r="38" spans="1:10" ht="12.75" customHeight="1" x14ac:dyDescent="0.25">
      <c r="B38" s="19" t="s">
        <v>63</v>
      </c>
      <c r="C38" s="35"/>
      <c r="D38" s="35"/>
      <c r="E38" s="118">
        <v>14</v>
      </c>
      <c r="F38" s="167" t="s">
        <v>64</v>
      </c>
      <c r="G38" s="511"/>
      <c r="H38" s="306"/>
      <c r="I38" s="307"/>
      <c r="J38" s="248"/>
    </row>
    <row r="39" spans="1:10" ht="12.75" customHeight="1" x14ac:dyDescent="0.25">
      <c r="B39" s="20" t="s">
        <v>65</v>
      </c>
      <c r="C39" s="36"/>
      <c r="D39" s="36"/>
      <c r="E39" s="118">
        <v>2</v>
      </c>
      <c r="F39" s="168" t="s">
        <v>66</v>
      </c>
      <c r="G39" s="511"/>
      <c r="H39" s="308"/>
      <c r="I39" s="309"/>
      <c r="J39" s="248"/>
    </row>
    <row r="40" spans="1:10" ht="12.75" customHeight="1" x14ac:dyDescent="0.25">
      <c r="B40" s="20" t="s">
        <v>67</v>
      </c>
      <c r="C40" s="36"/>
      <c r="D40" s="36"/>
      <c r="E40" s="118">
        <v>1</v>
      </c>
      <c r="F40" s="168" t="s">
        <v>66</v>
      </c>
      <c r="G40" s="511"/>
      <c r="H40" s="308"/>
      <c r="I40" s="309"/>
      <c r="J40" s="248"/>
    </row>
    <row r="41" spans="1:10" ht="12.75" customHeight="1" x14ac:dyDescent="0.25">
      <c r="B41" s="20" t="s">
        <v>68</v>
      </c>
      <c r="C41" s="36"/>
      <c r="D41" s="36"/>
      <c r="E41" s="118">
        <v>2</v>
      </c>
      <c r="F41" s="168" t="s">
        <v>66</v>
      </c>
      <c r="G41" s="511"/>
      <c r="H41" s="308"/>
      <c r="I41" s="309"/>
      <c r="J41" s="248"/>
    </row>
    <row r="42" spans="1:10" ht="4.5" customHeight="1" x14ac:dyDescent="0.25">
      <c r="A42" s="18"/>
      <c r="B42" s="18"/>
      <c r="E42" s="169"/>
      <c r="F42" s="168"/>
      <c r="G42" s="511"/>
      <c r="H42" s="308"/>
      <c r="I42" s="309"/>
      <c r="J42" s="248"/>
    </row>
    <row r="43" spans="1:10" ht="12.75" customHeight="1" x14ac:dyDescent="0.25">
      <c r="B43" s="18"/>
      <c r="C43" s="20" t="s">
        <v>69</v>
      </c>
      <c r="D43" s="36"/>
      <c r="E43" s="119">
        <v>0</v>
      </c>
      <c r="F43" s="168" t="s">
        <v>70</v>
      </c>
      <c r="G43" s="511"/>
      <c r="H43" s="331"/>
      <c r="I43" s="331"/>
      <c r="J43" s="248"/>
    </row>
    <row r="44" spans="1:10" ht="12.75" customHeight="1" x14ac:dyDescent="0.25">
      <c r="B44" s="18"/>
      <c r="C44" s="20" t="s">
        <v>71</v>
      </c>
      <c r="D44" s="36"/>
      <c r="E44" s="119">
        <v>0</v>
      </c>
      <c r="F44" s="168" t="s">
        <v>72</v>
      </c>
      <c r="G44" s="511"/>
      <c r="H44" s="331"/>
      <c r="I44" s="332"/>
      <c r="J44" s="248"/>
    </row>
    <row r="45" spans="1:10" ht="12.75" customHeight="1" x14ac:dyDescent="0.25">
      <c r="B45" s="18"/>
      <c r="C45" s="20" t="s">
        <v>73</v>
      </c>
      <c r="D45" s="36"/>
      <c r="E45" s="119">
        <v>0</v>
      </c>
      <c r="F45" s="168" t="s">
        <v>72</v>
      </c>
      <c r="G45" s="511"/>
      <c r="H45" s="308"/>
      <c r="I45" s="333"/>
      <c r="J45" s="248"/>
    </row>
    <row r="46" spans="1:10" ht="12.75" customHeight="1" x14ac:dyDescent="0.25">
      <c r="B46" s="18"/>
      <c r="C46" s="20" t="s">
        <v>74</v>
      </c>
      <c r="D46" s="36"/>
      <c r="E46" s="119">
        <v>0</v>
      </c>
      <c r="F46" s="168" t="s">
        <v>70</v>
      </c>
      <c r="G46" s="511"/>
      <c r="H46" s="308"/>
      <c r="I46" s="333"/>
      <c r="J46" s="248"/>
    </row>
    <row r="47" spans="1:10" ht="4.5" customHeight="1" x14ac:dyDescent="0.25">
      <c r="A47" s="18"/>
      <c r="B47" s="18"/>
      <c r="E47" s="169"/>
      <c r="F47" s="8"/>
      <c r="G47" s="8"/>
      <c r="I47" s="8"/>
      <c r="J47" s="40"/>
    </row>
    <row r="48" spans="1:10" ht="12.75" customHeight="1" x14ac:dyDescent="0.25">
      <c r="B48" s="18" t="s">
        <v>75</v>
      </c>
      <c r="C48" s="170"/>
      <c r="D48" s="171"/>
      <c r="E48" s="172">
        <f>SUM(E38:E46)</f>
        <v>19</v>
      </c>
      <c r="F48" s="171"/>
      <c r="G48" s="171"/>
      <c r="I48" s="245"/>
      <c r="J48" s="1"/>
    </row>
    <row r="49" spans="1:14" ht="12.95" customHeight="1" x14ac:dyDescent="0.25">
      <c r="B49" s="18"/>
      <c r="C49" s="171"/>
      <c r="D49" s="171"/>
      <c r="E49" s="171"/>
      <c r="F49" s="171"/>
      <c r="G49" s="171"/>
      <c r="I49" s="245"/>
      <c r="J49" s="1"/>
    </row>
    <row r="50" spans="1:14" s="112" customFormat="1" ht="12.95" customHeight="1" x14ac:dyDescent="0.25">
      <c r="A50" s="525" t="s">
        <v>76</v>
      </c>
      <c r="B50" s="525"/>
      <c r="C50" s="525"/>
      <c r="D50" s="525"/>
      <c r="E50" s="525"/>
      <c r="F50" s="525"/>
      <c r="G50" s="525"/>
      <c r="H50" s="525"/>
      <c r="I50" s="525"/>
      <c r="J50" s="115"/>
    </row>
    <row r="51" spans="1:14" s="10" customFormat="1" ht="4.5" customHeight="1" x14ac:dyDescent="0.25">
      <c r="I51" s="2"/>
      <c r="J51" s="2"/>
    </row>
    <row r="52" spans="1:14" ht="14.25" customHeight="1" x14ac:dyDescent="0.25">
      <c r="A52" s="173" t="s">
        <v>77</v>
      </c>
      <c r="B52" s="173"/>
      <c r="E52" s="200">
        <f>I33</f>
        <v>3264000</v>
      </c>
      <c r="I52" s="1"/>
    </row>
    <row r="53" spans="1:14" ht="3.95" customHeight="1" x14ac:dyDescent="0.2">
      <c r="A53" s="18"/>
      <c r="B53" s="18"/>
      <c r="C53" s="18"/>
      <c r="D53" s="18"/>
      <c r="E53" s="170"/>
      <c r="F53" s="646" t="str">
        <f>IF(I33&lt;50000,"! gemäß GP.9a (3): Ist die Bemessungsgrundlage niedriger als 500.000 €, sollte der Ermittlungsweg über Abschätzung des Büro- / Personalaufwandes gewählt werden","")</f>
        <v/>
      </c>
      <c r="G53" s="646"/>
      <c r="H53" s="646"/>
      <c r="I53" s="646"/>
      <c r="J53" s="1"/>
      <c r="K53" s="1"/>
    </row>
    <row r="54" spans="1:14" ht="14.25" customHeight="1" x14ac:dyDescent="0.25">
      <c r="A54" s="18" t="s">
        <v>78</v>
      </c>
      <c r="B54" s="18"/>
      <c r="E54" s="100">
        <f>0.0214*E48+0.9143</f>
        <v>1.32</v>
      </c>
      <c r="F54" s="646"/>
      <c r="G54" s="646"/>
      <c r="H54" s="646"/>
      <c r="I54" s="646"/>
    </row>
    <row r="55" spans="1:14" ht="4.1500000000000004" customHeight="1" x14ac:dyDescent="0.25">
      <c r="A55" s="18"/>
      <c r="B55" s="18"/>
      <c r="E55" s="28"/>
      <c r="F55" s="122"/>
      <c r="G55" s="122"/>
      <c r="I55"/>
      <c r="J55" s="1"/>
      <c r="K55" s="1"/>
    </row>
    <row r="56" spans="1:14" ht="14.25" customHeight="1" x14ac:dyDescent="0.25">
      <c r="A56" s="253" t="s">
        <v>79</v>
      </c>
      <c r="B56" s="18"/>
      <c r="E56" s="311">
        <f>ROUND(IF(E52=0,"-",1.75*(-0.0466*LN(E52)+1.213)*E54/100),6)</f>
        <v>1.1875E-2</v>
      </c>
      <c r="F56" s="208" t="s">
        <v>80</v>
      </c>
      <c r="G56" s="527" t="s">
        <v>81</v>
      </c>
      <c r="I56" s="1"/>
      <c r="J56" s="526"/>
    </row>
    <row r="57" spans="1:14" ht="14.25" customHeight="1" x14ac:dyDescent="0.25">
      <c r="A57" s="18" t="s">
        <v>82</v>
      </c>
      <c r="B57" s="18"/>
      <c r="E57" s="262">
        <v>0</v>
      </c>
      <c r="F57" s="208"/>
      <c r="G57" s="208"/>
      <c r="I57" s="526"/>
      <c r="J57" s="526"/>
    </row>
    <row r="58" spans="1:14" ht="3.95" customHeight="1" x14ac:dyDescent="0.25">
      <c r="A58" s="18"/>
      <c r="B58" s="18"/>
      <c r="F58" s="174"/>
      <c r="G58" s="174"/>
      <c r="H58" s="174"/>
      <c r="I58" s="526"/>
      <c r="J58" s="526"/>
      <c r="K58" s="9"/>
      <c r="L58"/>
      <c r="M58"/>
      <c r="N58"/>
    </row>
    <row r="59" spans="1:14" ht="15" customHeight="1" x14ac:dyDescent="0.3">
      <c r="A59" s="21" t="s">
        <v>83</v>
      </c>
      <c r="B59" s="19"/>
      <c r="C59" s="175"/>
      <c r="D59" s="175"/>
      <c r="E59" s="175"/>
      <c r="F59" s="277">
        <f>IF(E52=0,"-",E52*E56*(1+E57))</f>
        <v>38760</v>
      </c>
      <c r="G59" s="8"/>
      <c r="I59" s="526"/>
      <c r="J59" s="526"/>
      <c r="K59" s="9"/>
      <c r="L59"/>
      <c r="M59"/>
      <c r="N59"/>
    </row>
    <row r="60" spans="1:14" s="10" customFormat="1" ht="3.95" customHeight="1" x14ac:dyDescent="0.25">
      <c r="I60" s="2"/>
      <c r="J60" s="2"/>
    </row>
    <row r="61" spans="1:14" s="10" customFormat="1" ht="12.75" customHeight="1" x14ac:dyDescent="0.25">
      <c r="D61" s="278" t="s">
        <v>84</v>
      </c>
      <c r="E61" s="165" t="s">
        <v>60</v>
      </c>
      <c r="G61" s="569"/>
      <c r="H61" s="165"/>
      <c r="I61" s="29"/>
      <c r="J61" s="2"/>
    </row>
    <row r="62" spans="1:14" ht="12.75" customHeight="1" x14ac:dyDescent="0.25">
      <c r="A62" s="163" t="s">
        <v>85</v>
      </c>
      <c r="B62" s="163"/>
      <c r="D62" s="279">
        <v>0.2</v>
      </c>
      <c r="E62" s="255">
        <v>0.2</v>
      </c>
      <c r="F62" s="276">
        <f t="shared" ref="F62:F71" si="0">IF($E$52=0,"-",$F$59*E62)</f>
        <v>7752</v>
      </c>
      <c r="G62" s="314"/>
      <c r="H62" s="570"/>
      <c r="I62" s="183"/>
    </row>
    <row r="63" spans="1:14" ht="12.75" customHeight="1" x14ac:dyDescent="0.25">
      <c r="A63" s="163" t="s">
        <v>86</v>
      </c>
      <c r="B63" s="163"/>
      <c r="D63" s="279">
        <v>0.06</v>
      </c>
      <c r="E63" s="545">
        <v>0.06</v>
      </c>
      <c r="F63" s="276">
        <f t="shared" si="0"/>
        <v>2326</v>
      </c>
      <c r="G63" s="315"/>
      <c r="H63" s="571"/>
      <c r="I63" s="183"/>
    </row>
    <row r="64" spans="1:14" ht="12.75" customHeight="1" x14ac:dyDescent="0.25">
      <c r="A64" s="163" t="s">
        <v>87</v>
      </c>
      <c r="B64" s="163"/>
      <c r="D64" s="279">
        <v>0.08</v>
      </c>
      <c r="E64" s="545">
        <v>0.08</v>
      </c>
      <c r="F64" s="276">
        <f t="shared" si="0"/>
        <v>3101</v>
      </c>
      <c r="G64" s="315"/>
      <c r="H64" s="571"/>
      <c r="I64" s="183"/>
    </row>
    <row r="65" spans="1:11" ht="12.75" customHeight="1" x14ac:dyDescent="0.25">
      <c r="A65" s="163" t="s">
        <v>88</v>
      </c>
      <c r="B65" s="163"/>
      <c r="D65" s="279">
        <v>0.03</v>
      </c>
      <c r="E65" s="255">
        <v>0.03</v>
      </c>
      <c r="F65" s="276">
        <f t="shared" si="0"/>
        <v>1163</v>
      </c>
      <c r="G65" s="315"/>
      <c r="H65" s="571"/>
      <c r="I65" s="183"/>
    </row>
    <row r="66" spans="1:11" ht="12.75" customHeight="1" x14ac:dyDescent="0.25">
      <c r="A66" s="163" t="s">
        <v>89</v>
      </c>
      <c r="B66" s="163"/>
      <c r="D66" s="279">
        <v>0.17</v>
      </c>
      <c r="E66" s="545">
        <v>0.17</v>
      </c>
      <c r="F66" s="276">
        <f t="shared" si="0"/>
        <v>6589</v>
      </c>
      <c r="G66" s="315"/>
      <c r="H66" s="571"/>
      <c r="I66" s="183"/>
    </row>
    <row r="67" spans="1:11" ht="12.75" customHeight="1" x14ac:dyDescent="0.25">
      <c r="A67" s="163" t="s">
        <v>90</v>
      </c>
      <c r="B67" s="163"/>
      <c r="D67" s="279">
        <v>0.08</v>
      </c>
      <c r="E67" s="545">
        <v>0.08</v>
      </c>
      <c r="F67" s="276">
        <f t="shared" si="0"/>
        <v>3101</v>
      </c>
      <c r="G67" s="314"/>
      <c r="H67" s="570"/>
      <c r="I67" s="183"/>
    </row>
    <row r="68" spans="1:11" ht="12.75" customHeight="1" x14ac:dyDescent="0.25">
      <c r="A68" s="163" t="s">
        <v>91</v>
      </c>
      <c r="B68" s="163"/>
      <c r="D68" s="279">
        <v>0.02</v>
      </c>
      <c r="E68" s="545">
        <v>0.02</v>
      </c>
      <c r="F68" s="276">
        <f t="shared" si="0"/>
        <v>775</v>
      </c>
      <c r="G68" s="315"/>
      <c r="H68" s="571"/>
      <c r="I68" s="183"/>
    </row>
    <row r="69" spans="1:11" ht="12.75" customHeight="1" x14ac:dyDescent="0.25">
      <c r="A69" s="163" t="s">
        <v>92</v>
      </c>
      <c r="B69" s="163"/>
      <c r="D69" s="279">
        <v>0.03</v>
      </c>
      <c r="E69" s="545">
        <v>0.03</v>
      </c>
      <c r="F69" s="276">
        <f t="shared" si="0"/>
        <v>1163</v>
      </c>
      <c r="G69" s="315"/>
      <c r="H69" s="571"/>
      <c r="I69" s="183"/>
    </row>
    <row r="70" spans="1:11" ht="12.75" customHeight="1" x14ac:dyDescent="0.25">
      <c r="A70" s="163" t="s">
        <v>93</v>
      </c>
      <c r="B70" s="163"/>
      <c r="D70" s="279">
        <v>0.3</v>
      </c>
      <c r="E70" s="545">
        <v>0.3</v>
      </c>
      <c r="F70" s="276">
        <f t="shared" si="0"/>
        <v>11628</v>
      </c>
      <c r="G70" s="315"/>
      <c r="H70" s="571"/>
      <c r="I70" s="183"/>
    </row>
    <row r="71" spans="1:11" ht="12.75" customHeight="1" x14ac:dyDescent="0.25">
      <c r="A71" s="175" t="s">
        <v>94</v>
      </c>
      <c r="B71" s="175"/>
      <c r="C71" s="35"/>
      <c r="D71" s="517">
        <v>0.03</v>
      </c>
      <c r="E71" s="544">
        <v>0.03</v>
      </c>
      <c r="F71" s="276">
        <f t="shared" si="0"/>
        <v>1163</v>
      </c>
      <c r="G71" s="316"/>
      <c r="H71" s="572"/>
      <c r="I71" s="184"/>
    </row>
    <row r="72" spans="1:11" s="520" customFormat="1" ht="18.600000000000001" customHeight="1" x14ac:dyDescent="0.25">
      <c r="A72" s="381" t="s">
        <v>95</v>
      </c>
      <c r="B72" s="519"/>
      <c r="D72" s="627">
        <f>SUM(D62:D71)</f>
        <v>1</v>
      </c>
      <c r="E72" s="371">
        <f>SUM(E62:E71)</f>
        <v>1</v>
      </c>
      <c r="F72" s="521">
        <f>SUM(F62:F71)</f>
        <v>38761</v>
      </c>
      <c r="G72" s="372"/>
      <c r="H72" s="383"/>
      <c r="I72" s="372"/>
      <c r="J72" s="573"/>
      <c r="K72" s="574"/>
    </row>
    <row r="73" spans="1:11" s="251" customFormat="1" ht="12.75" customHeight="1" x14ac:dyDescent="0.25">
      <c r="A73" s="641" t="s">
        <v>96</v>
      </c>
      <c r="B73" s="250"/>
      <c r="D73" s="254">
        <v>0.01</v>
      </c>
      <c r="E73" s="543">
        <v>0.01</v>
      </c>
      <c r="F73" s="276">
        <f>IF($E$52=0,"-",$F$59*E73)</f>
        <v>388</v>
      </c>
      <c r="I73" s="575"/>
      <c r="J73" s="576"/>
      <c r="K73" s="577"/>
    </row>
    <row r="74" spans="1:11" ht="12.75" customHeight="1" x14ac:dyDescent="0.2">
      <c r="A74" s="35" t="s">
        <v>97</v>
      </c>
      <c r="B74" s="175"/>
      <c r="C74" s="35"/>
      <c r="D74" s="280">
        <v>0.01</v>
      </c>
      <c r="E74" s="518">
        <v>0</v>
      </c>
      <c r="F74" s="523">
        <f>IF($E$52=0,"-",$F$59*E74)</f>
        <v>0</v>
      </c>
      <c r="G74" s="35"/>
      <c r="H74" s="45"/>
      <c r="I74" s="35"/>
      <c r="K74" s="1"/>
    </row>
    <row r="75" spans="1:11" ht="12.75" customHeight="1" x14ac:dyDescent="0.25">
      <c r="A75" s="181" t="s">
        <v>249</v>
      </c>
      <c r="B75" s="163"/>
      <c r="D75" s="254">
        <f>SUM(D72:D74)</f>
        <v>1.02</v>
      </c>
      <c r="E75" s="371">
        <f>SUM(E72:E74)</f>
        <v>1.01</v>
      </c>
      <c r="F75" s="522">
        <f>F72+SUM(F73:F74)</f>
        <v>39149</v>
      </c>
      <c r="H75" s="276"/>
      <c r="I75" s="147">
        <f>F75</f>
        <v>39149</v>
      </c>
    </row>
    <row r="76" spans="1:11" ht="12.75" customHeight="1" x14ac:dyDescent="0.25">
      <c r="A76" s="181"/>
      <c r="B76" s="163"/>
      <c r="D76" s="254"/>
      <c r="E76" s="371"/>
      <c r="H76" s="276"/>
      <c r="I76" s="149"/>
    </row>
    <row r="77" spans="1:11" ht="12.75" customHeight="1" x14ac:dyDescent="0.25">
      <c r="A77" s="33" t="s">
        <v>98</v>
      </c>
      <c r="E77" s="256">
        <v>0</v>
      </c>
      <c r="F77" s="524">
        <v>0</v>
      </c>
      <c r="H77" s="1"/>
      <c r="I77" s="578">
        <f>E77*F77</f>
        <v>0</v>
      </c>
    </row>
    <row r="78" spans="1:11" s="10" customFormat="1" ht="4.5" customHeight="1" x14ac:dyDescent="0.25">
      <c r="I78" s="2"/>
      <c r="J78" s="2"/>
    </row>
    <row r="79" spans="1:11" s="23" customFormat="1" ht="12.75" x14ac:dyDescent="0.2">
      <c r="A79" s="94" t="s">
        <v>99</v>
      </c>
      <c r="B79" s="95"/>
      <c r="C79" s="96"/>
      <c r="D79" s="98"/>
      <c r="E79" s="97"/>
      <c r="F79" s="97"/>
      <c r="G79" s="97"/>
      <c r="H79" s="97"/>
      <c r="I79" s="147">
        <f>I75+I77</f>
        <v>39149</v>
      </c>
    </row>
    <row r="80" spans="1:11" s="23" customFormat="1" ht="4.5" customHeight="1" x14ac:dyDescent="0.2">
      <c r="B80" s="24"/>
      <c r="C80" s="25"/>
      <c r="D80" s="47"/>
      <c r="E80" s="48"/>
      <c r="F80" s="48"/>
      <c r="G80" s="48"/>
      <c r="I80" s="148"/>
      <c r="K80" s="25"/>
    </row>
    <row r="81" spans="1:11" s="23" customFormat="1" ht="12.75" x14ac:dyDescent="0.2">
      <c r="A81" s="49" t="s">
        <v>40</v>
      </c>
      <c r="B81" s="24"/>
      <c r="C81" s="25"/>
      <c r="D81" s="47"/>
      <c r="E81" s="220">
        <v>0.04</v>
      </c>
      <c r="F81" s="48"/>
      <c r="G81" s="48"/>
      <c r="I81" s="148">
        <f>IF(E48=0,"-",ROUND(I79*E81,2))</f>
        <v>1566</v>
      </c>
      <c r="K81" s="25"/>
    </row>
    <row r="82" spans="1:11" s="23" customFormat="1" ht="3" customHeight="1" x14ac:dyDescent="0.2">
      <c r="B82" s="24"/>
      <c r="C82" s="25"/>
      <c r="D82" s="26"/>
      <c r="E82" s="48"/>
      <c r="F82" s="48"/>
      <c r="G82" s="48"/>
      <c r="I82" s="148"/>
      <c r="K82" s="25"/>
    </row>
    <row r="83" spans="1:11" s="23" customFormat="1" ht="12.75" x14ac:dyDescent="0.2">
      <c r="A83" s="94" t="s">
        <v>100</v>
      </c>
      <c r="B83" s="95"/>
      <c r="C83" s="96"/>
      <c r="D83" s="98"/>
      <c r="E83" s="97"/>
      <c r="F83" s="97"/>
      <c r="G83" s="97"/>
      <c r="H83" s="97"/>
      <c r="I83" s="147">
        <f>SUM(I79:I81)</f>
        <v>40715</v>
      </c>
      <c r="K83" s="62"/>
    </row>
    <row r="84" spans="1:11" s="23" customFormat="1" ht="4.5" customHeight="1" x14ac:dyDescent="0.2">
      <c r="B84" s="24"/>
      <c r="C84" s="25"/>
      <c r="D84" s="47"/>
      <c r="E84" s="48"/>
      <c r="F84" s="48"/>
      <c r="G84" s="48"/>
      <c r="I84" s="148"/>
      <c r="K84" s="25"/>
    </row>
    <row r="85" spans="1:11" s="23" customFormat="1" ht="12.75" x14ac:dyDescent="0.2">
      <c r="A85" s="49" t="s">
        <v>101</v>
      </c>
      <c r="B85" s="24"/>
      <c r="C85" s="25"/>
      <c r="D85" s="47"/>
      <c r="E85" s="220">
        <v>0</v>
      </c>
      <c r="F85" s="48"/>
      <c r="G85" s="48"/>
      <c r="I85" s="148">
        <f>IF(E52=0,"-",ROUND(I83*E85,2))</f>
        <v>0</v>
      </c>
      <c r="K85" s="25"/>
    </row>
    <row r="86" spans="1:11" s="23" customFormat="1" ht="3" customHeight="1" x14ac:dyDescent="0.2">
      <c r="B86" s="24"/>
      <c r="C86" s="25"/>
      <c r="D86" s="26"/>
      <c r="E86" s="219"/>
      <c r="F86" s="48"/>
      <c r="G86" s="48"/>
      <c r="I86" s="148"/>
      <c r="K86" s="25"/>
    </row>
    <row r="87" spans="1:11" s="23" customFormat="1" ht="12.75" x14ac:dyDescent="0.2">
      <c r="A87" s="94" t="s">
        <v>102</v>
      </c>
      <c r="B87" s="95"/>
      <c r="C87" s="96"/>
      <c r="D87" s="98"/>
      <c r="E87" s="97"/>
      <c r="F87" s="97"/>
      <c r="G87" s="97"/>
      <c r="H87" s="97"/>
      <c r="I87" s="147">
        <f>I83+I85</f>
        <v>40715</v>
      </c>
      <c r="K87" s="62"/>
    </row>
    <row r="88" spans="1:11" s="23" customFormat="1" ht="4.5" customHeight="1" x14ac:dyDescent="0.2">
      <c r="A88" s="53"/>
      <c r="B88" s="54"/>
      <c r="C88" s="55"/>
      <c r="D88" s="241"/>
      <c r="I88" s="149"/>
      <c r="K88" s="62"/>
    </row>
    <row r="89" spans="1:11" s="23" customFormat="1" ht="12.75" x14ac:dyDescent="0.2">
      <c r="A89" s="23" t="s">
        <v>48</v>
      </c>
      <c r="B89" s="24"/>
      <c r="C89" s="25"/>
      <c r="D89" s="26"/>
      <c r="E89" s="27">
        <v>0.2</v>
      </c>
      <c r="F89" s="27"/>
      <c r="G89" s="27"/>
      <c r="I89" s="148">
        <f>IF(E52=0,"-",ROUND(I87*E89,2))</f>
        <v>8143</v>
      </c>
      <c r="K89" s="27"/>
    </row>
    <row r="90" spans="1:11" s="23" customFormat="1" ht="3" customHeight="1" x14ac:dyDescent="0.2">
      <c r="B90" s="24"/>
      <c r="C90" s="25"/>
      <c r="D90" s="26"/>
      <c r="E90" s="48"/>
      <c r="F90" s="48"/>
      <c r="G90" s="48"/>
      <c r="I90" s="148"/>
      <c r="K90" s="25"/>
    </row>
    <row r="91" spans="1:11" s="23" customFormat="1" ht="12.75" x14ac:dyDescent="0.2">
      <c r="A91" s="191" t="s">
        <v>103</v>
      </c>
      <c r="B91" s="201"/>
      <c r="C91" s="192"/>
      <c r="D91" s="194"/>
      <c r="E91" s="195"/>
      <c r="F91" s="195"/>
      <c r="G91" s="195"/>
      <c r="H91" s="193"/>
      <c r="I91" s="202">
        <f>SUM(I87:I89)</f>
        <v>48858</v>
      </c>
      <c r="K91" s="55"/>
    </row>
    <row r="92" spans="1:11" ht="5.0999999999999996" customHeight="1" x14ac:dyDescent="0.25"/>
    <row r="93" spans="1:11" x14ac:dyDescent="0.25">
      <c r="A93" s="203" t="s">
        <v>120</v>
      </c>
      <c r="E93" s="270">
        <f>I87/E52</f>
        <v>1.2474000000000001E-2</v>
      </c>
    </row>
  </sheetData>
  <sheetProtection algorithmName="SHA-512" hashValue="TLgYJnZocPjVO726NYRGsCN37TuPxkHMxl3+9W+gSp/+erWezSDipMH78deHfyOPqdUkaI1ohIgoLDE+c/LWJQ==" saltValue="rzrHH+yuz3+u1D0jxGXqZw==" spinCount="100000" sheet="1" objects="1" scenarios="1"/>
  <mergeCells count="12">
    <mergeCell ref="F53:I54"/>
    <mergeCell ref="A8:B8"/>
    <mergeCell ref="A10:B10"/>
    <mergeCell ref="A12:B12"/>
    <mergeCell ref="A14:B14"/>
    <mergeCell ref="A27:B27"/>
    <mergeCell ref="H37:I37"/>
    <mergeCell ref="H3:I3"/>
    <mergeCell ref="A16:B16"/>
    <mergeCell ref="A21:B21"/>
    <mergeCell ref="A23:B23"/>
    <mergeCell ref="A25:B25"/>
  </mergeCells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&amp;L&amp;"Arial,Fett"&amp;K01+025Angebot Generalplaner gesamt  (GP 2a + PL + ÖBA)
&amp;"Arial,Standard"(TA Anlagengruppen gesamt)
nach VM.GP.2023&amp;R&amp;"Arial,Standard"&amp;K01+026Version 2
Stand: 06.12.2023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37</xdr:row>
                    <xdr:rowOff>28575</xdr:rowOff>
                  </from>
                  <to>
                    <xdr:col>8</xdr:col>
                    <xdr:colOff>1019175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28575</xdr:colOff>
                    <xdr:row>38</xdr:row>
                    <xdr:rowOff>28575</xdr:rowOff>
                  </from>
                  <to>
                    <xdr:col>8</xdr:col>
                    <xdr:colOff>1019175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39</xdr:row>
                    <xdr:rowOff>28575</xdr:rowOff>
                  </from>
                  <to>
                    <xdr:col>8</xdr:col>
                    <xdr:colOff>1019175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40</xdr:row>
                    <xdr:rowOff>28575</xdr:rowOff>
                  </from>
                  <to>
                    <xdr:col>8</xdr:col>
                    <xdr:colOff>1019175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Scroll Bar 6">
              <controlPr defaultSize="0" autoPict="0">
                <anchor moveWithCells="1">
                  <from>
                    <xdr:col>7</xdr:col>
                    <xdr:colOff>28575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Scroll Bar 7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Scroll Bar 8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Scroll Bar 9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95DE-262B-4BDE-8348-241EA0A05010}">
  <sheetPr>
    <tabColor theme="6"/>
  </sheetPr>
  <dimension ref="A1:M89"/>
  <sheetViews>
    <sheetView showGridLines="0" zoomScaleNormal="100" zoomScaleSheetLayoutView="85" zoomScalePageLayoutView="40" workbookViewId="0">
      <selection activeCell="H10" sqref="H10"/>
    </sheetView>
  </sheetViews>
  <sheetFormatPr baseColWidth="10" defaultColWidth="5.7109375" defaultRowHeight="15" x14ac:dyDescent="0.25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2" max="12" width="10.7109375" style="1" bestFit="1" customWidth="1"/>
    <col min="13" max="16384" width="5.7109375" style="1"/>
  </cols>
  <sheetData>
    <row r="1" spans="1:11" ht="5.0999999999999996" customHeight="1" x14ac:dyDescent="0.25"/>
    <row r="2" spans="1:11" s="37" customFormat="1" ht="35.1" customHeight="1" x14ac:dyDescent="0.25">
      <c r="A2" s="107" t="s">
        <v>51</v>
      </c>
      <c r="E2" s="38"/>
      <c r="F2" s="38"/>
      <c r="G2" s="38"/>
      <c r="H2" s="644" t="s">
        <v>104</v>
      </c>
      <c r="I2" s="644"/>
      <c r="J2" s="43"/>
      <c r="K2" s="39"/>
    </row>
    <row r="3" spans="1:11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1" s="10" customFormat="1" ht="6" customHeight="1" x14ac:dyDescent="0.25">
      <c r="I4" s="2"/>
      <c r="J4" s="2"/>
    </row>
    <row r="5" spans="1:11" s="10" customFormat="1" ht="12.95" customHeight="1" x14ac:dyDescent="0.25">
      <c r="D5" s="69" t="s">
        <v>2</v>
      </c>
      <c r="E5" s="30" t="s">
        <v>3</v>
      </c>
      <c r="F5" s="30"/>
      <c r="G5" s="30"/>
      <c r="H5" s="12" t="s">
        <v>52</v>
      </c>
      <c r="I5" s="89" t="s">
        <v>53</v>
      </c>
      <c r="J5" s="30"/>
    </row>
    <row r="6" spans="1:11" s="10" customFormat="1" ht="6" customHeight="1" x14ac:dyDescent="0.25">
      <c r="E6" s="67"/>
      <c r="I6" s="2"/>
      <c r="J6" s="2"/>
    </row>
    <row r="7" spans="1:11" s="11" customFormat="1" ht="12.95" customHeight="1" x14ac:dyDescent="0.2">
      <c r="A7" s="645">
        <v>1</v>
      </c>
      <c r="B7" s="645"/>
      <c r="C7" s="76" t="s">
        <v>4</v>
      </c>
      <c r="D7" s="138">
        <f>E7/$E$36</f>
        <v>2E-3</v>
      </c>
      <c r="E7" s="321">
        <f>_1</f>
        <v>10000</v>
      </c>
      <c r="F7" s="263"/>
      <c r="G7" s="263"/>
      <c r="H7" s="281">
        <v>0</v>
      </c>
      <c r="I7" s="282">
        <f>E7*H7</f>
        <v>0</v>
      </c>
      <c r="J7" s="34"/>
    </row>
    <row r="8" spans="1:11" ht="4.1500000000000004" customHeight="1" x14ac:dyDescent="0.25">
      <c r="B8" s="4"/>
      <c r="D8" s="139"/>
      <c r="E8" s="319"/>
      <c r="F8" s="33"/>
      <c r="G8" s="33"/>
      <c r="H8" s="283"/>
      <c r="I8" s="284"/>
      <c r="J8" s="44"/>
    </row>
    <row r="9" spans="1:11" s="11" customFormat="1" ht="12.95" customHeight="1" x14ac:dyDescent="0.2">
      <c r="A9" s="645">
        <v>2</v>
      </c>
      <c r="B9" s="645"/>
      <c r="C9" s="76" t="s">
        <v>5</v>
      </c>
      <c r="D9" s="138">
        <f>E9/$E$36</f>
        <v>0.37</v>
      </c>
      <c r="E9" s="321">
        <f>_2</f>
        <v>1500000</v>
      </c>
      <c r="F9" s="263"/>
      <c r="G9" s="263"/>
      <c r="H9" s="285">
        <v>1</v>
      </c>
      <c r="I9" s="286">
        <f>E9*H9</f>
        <v>1500000</v>
      </c>
      <c r="J9" s="34"/>
    </row>
    <row r="10" spans="1:11" ht="4.1500000000000004" customHeight="1" x14ac:dyDescent="0.25">
      <c r="D10" s="139"/>
      <c r="E10" s="319"/>
      <c r="F10" s="33"/>
      <c r="G10" s="33"/>
      <c r="H10" s="283"/>
      <c r="I10" s="287"/>
      <c r="J10" s="34"/>
    </row>
    <row r="11" spans="1:11" s="10" customFormat="1" ht="12.95" customHeight="1" x14ac:dyDescent="0.2">
      <c r="A11" s="645">
        <v>3</v>
      </c>
      <c r="B11" s="645"/>
      <c r="C11" s="76" t="s">
        <v>6</v>
      </c>
      <c r="D11" s="138">
        <f>E11/$E$36</f>
        <v>0.14899999999999999</v>
      </c>
      <c r="E11" s="321">
        <f>_3</f>
        <v>605000</v>
      </c>
      <c r="F11" s="263"/>
      <c r="G11" s="263"/>
      <c r="H11" s="283"/>
      <c r="I11" s="287"/>
      <c r="J11" s="34"/>
    </row>
    <row r="12" spans="1:11" ht="12.95" customHeight="1" x14ac:dyDescent="0.25">
      <c r="A12" s="288">
        <v>3</v>
      </c>
      <c r="B12" s="289" t="s">
        <v>7</v>
      </c>
      <c r="C12" s="290" t="s">
        <v>8</v>
      </c>
      <c r="D12" s="140"/>
      <c r="E12" s="322">
        <f>_3.01</f>
        <v>120000</v>
      </c>
      <c r="F12" s="263"/>
      <c r="G12" s="263"/>
      <c r="H12" s="285">
        <v>1</v>
      </c>
      <c r="I12" s="286">
        <f t="shared" ref="I12:I19" si="0">E12*H12</f>
        <v>120000</v>
      </c>
      <c r="J12" s="34"/>
    </row>
    <row r="13" spans="1:11" ht="12.95" customHeight="1" x14ac:dyDescent="0.25">
      <c r="A13" s="291">
        <v>3</v>
      </c>
      <c r="B13" s="292" t="s">
        <v>9</v>
      </c>
      <c r="C13" s="293" t="s">
        <v>10</v>
      </c>
      <c r="D13" s="141"/>
      <c r="E13" s="322">
        <f>_3.02</f>
        <v>130000</v>
      </c>
      <c r="F13" s="263"/>
      <c r="G13" s="263"/>
      <c r="H13" s="285">
        <v>1</v>
      </c>
      <c r="I13" s="286">
        <f t="shared" si="0"/>
        <v>130000</v>
      </c>
      <c r="J13" s="34"/>
    </row>
    <row r="14" spans="1:11" ht="12.95" customHeight="1" x14ac:dyDescent="0.25">
      <c r="A14" s="291">
        <v>3</v>
      </c>
      <c r="B14" s="292" t="s">
        <v>11</v>
      </c>
      <c r="C14" s="293" t="s">
        <v>12</v>
      </c>
      <c r="D14" s="141"/>
      <c r="E14" s="322">
        <f>_3.03</f>
        <v>130000</v>
      </c>
      <c r="F14" s="263"/>
      <c r="G14" s="263"/>
      <c r="H14" s="285">
        <v>1</v>
      </c>
      <c r="I14" s="286">
        <f t="shared" si="0"/>
        <v>130000</v>
      </c>
      <c r="J14" s="34"/>
    </row>
    <row r="15" spans="1:11" ht="12.95" customHeight="1" x14ac:dyDescent="0.25">
      <c r="A15" s="291">
        <v>3</v>
      </c>
      <c r="B15" s="292" t="s">
        <v>13</v>
      </c>
      <c r="C15" s="293" t="s">
        <v>14</v>
      </c>
      <c r="D15" s="141"/>
      <c r="E15" s="322">
        <f>_3.04</f>
        <v>140000</v>
      </c>
      <c r="F15" s="263"/>
      <c r="G15" s="263"/>
      <c r="H15" s="285">
        <v>1</v>
      </c>
      <c r="I15" s="286">
        <f t="shared" si="0"/>
        <v>140000</v>
      </c>
      <c r="J15" s="34"/>
    </row>
    <row r="16" spans="1:11" ht="12.95" customHeight="1" x14ac:dyDescent="0.25">
      <c r="A16" s="291">
        <v>3</v>
      </c>
      <c r="B16" s="292" t="s">
        <v>15</v>
      </c>
      <c r="C16" s="293" t="s">
        <v>16</v>
      </c>
      <c r="D16" s="141"/>
      <c r="E16" s="322">
        <f>_3.05</f>
        <v>65000</v>
      </c>
      <c r="F16" s="263"/>
      <c r="G16" s="263"/>
      <c r="H16" s="285">
        <v>1</v>
      </c>
      <c r="I16" s="286">
        <f t="shared" si="0"/>
        <v>65000</v>
      </c>
      <c r="J16" s="34"/>
    </row>
    <row r="17" spans="1:10" ht="12.95" customHeight="1" x14ac:dyDescent="0.25">
      <c r="A17" s="291">
        <v>3</v>
      </c>
      <c r="B17" s="292" t="s">
        <v>17</v>
      </c>
      <c r="C17" s="293" t="s">
        <v>18</v>
      </c>
      <c r="D17" s="141"/>
      <c r="E17" s="322">
        <f>_3.06</f>
        <v>20000</v>
      </c>
      <c r="F17" s="263"/>
      <c r="G17" s="263"/>
      <c r="H17" s="285">
        <v>1</v>
      </c>
      <c r="I17" s="286">
        <f t="shared" si="0"/>
        <v>20000</v>
      </c>
      <c r="J17" s="34"/>
    </row>
    <row r="18" spans="1:10" ht="12.95" customHeight="1" x14ac:dyDescent="0.25">
      <c r="A18" s="291">
        <v>3</v>
      </c>
      <c r="B18" s="292" t="s">
        <v>19</v>
      </c>
      <c r="C18" s="293" t="s">
        <v>20</v>
      </c>
      <c r="D18" s="141"/>
      <c r="E18" s="322">
        <f>_3.07</f>
        <v>0</v>
      </c>
      <c r="F18" s="263"/>
      <c r="G18" s="263"/>
      <c r="H18" s="285">
        <v>1</v>
      </c>
      <c r="I18" s="286">
        <f t="shared" si="0"/>
        <v>0</v>
      </c>
      <c r="J18" s="34"/>
    </row>
    <row r="19" spans="1:10" ht="12.95" customHeight="1" x14ac:dyDescent="0.25">
      <c r="A19" s="291">
        <v>3</v>
      </c>
      <c r="B19" s="292" t="s">
        <v>21</v>
      </c>
      <c r="C19" s="293" t="s">
        <v>22</v>
      </c>
      <c r="D19" s="141"/>
      <c r="E19" s="322">
        <f>_3.08</f>
        <v>0</v>
      </c>
      <c r="F19" s="263"/>
      <c r="G19" s="263"/>
      <c r="H19" s="285">
        <v>1</v>
      </c>
      <c r="I19" s="286">
        <f t="shared" si="0"/>
        <v>0</v>
      </c>
      <c r="J19" s="34"/>
    </row>
    <row r="20" spans="1:10" ht="4.1500000000000004" customHeight="1" x14ac:dyDescent="0.25">
      <c r="D20" s="139"/>
      <c r="E20" s="294"/>
      <c r="F20" s="33"/>
      <c r="G20" s="33"/>
      <c r="H20" s="295"/>
      <c r="I20" s="287"/>
      <c r="J20" s="158"/>
    </row>
    <row r="21" spans="1:10" s="10" customFormat="1" ht="12.75" customHeight="1" x14ac:dyDescent="0.2">
      <c r="A21" s="645">
        <v>4</v>
      </c>
      <c r="B21" s="645"/>
      <c r="C21" s="76" t="s">
        <v>23</v>
      </c>
      <c r="D21" s="138">
        <f>E21/$E$36</f>
        <v>0.19700000000000001</v>
      </c>
      <c r="E21" s="321">
        <f>_4</f>
        <v>800000</v>
      </c>
      <c r="F21" s="263"/>
      <c r="G21" s="263"/>
      <c r="H21" s="285">
        <v>1</v>
      </c>
      <c r="I21" s="286">
        <f>E21*H21</f>
        <v>800000</v>
      </c>
      <c r="J21" s="34"/>
    </row>
    <row r="22" spans="1:10" ht="4.1500000000000004" customHeight="1" x14ac:dyDescent="0.25">
      <c r="B22" s="4"/>
      <c r="D22" s="139"/>
      <c r="E22" s="294"/>
      <c r="F22" s="33"/>
      <c r="G22" s="33"/>
      <c r="H22" s="283"/>
      <c r="I22" s="287"/>
      <c r="J22" s="33"/>
    </row>
    <row r="23" spans="1:10" s="11" customFormat="1" ht="12.95" customHeight="1" x14ac:dyDescent="0.2">
      <c r="A23" s="645">
        <v>5</v>
      </c>
      <c r="B23" s="645"/>
      <c r="C23" s="76" t="s">
        <v>24</v>
      </c>
      <c r="D23" s="138">
        <f>E23/$E$36</f>
        <v>2.5000000000000001E-2</v>
      </c>
      <c r="E23" s="321">
        <f>_5</f>
        <v>100000</v>
      </c>
      <c r="F23" s="263"/>
      <c r="G23" s="263"/>
      <c r="H23" s="283"/>
      <c r="I23" s="287"/>
      <c r="J23" s="34"/>
    </row>
    <row r="24" spans="1:10" ht="12.95" customHeight="1" x14ac:dyDescent="0.25">
      <c r="A24" s="291">
        <v>5</v>
      </c>
      <c r="B24" s="296" t="s">
        <v>7</v>
      </c>
      <c r="C24" s="290" t="s">
        <v>25</v>
      </c>
      <c r="D24" s="140"/>
      <c r="E24" s="322">
        <f>_5.01</f>
        <v>60000</v>
      </c>
      <c r="F24" s="263"/>
      <c r="G24" s="263"/>
      <c r="H24" s="285">
        <v>1</v>
      </c>
      <c r="I24" s="286">
        <f>H24*E24</f>
        <v>60000</v>
      </c>
      <c r="J24" s="34"/>
    </row>
    <row r="25" spans="1:10" ht="12.95" customHeight="1" x14ac:dyDescent="0.25">
      <c r="A25" s="291">
        <v>5</v>
      </c>
      <c r="B25" s="297" t="s">
        <v>9</v>
      </c>
      <c r="C25" s="298" t="s">
        <v>26</v>
      </c>
      <c r="D25" s="264"/>
      <c r="E25" s="322">
        <f>_5.02</f>
        <v>40000</v>
      </c>
      <c r="F25" s="263"/>
      <c r="G25" s="263"/>
      <c r="H25" s="285">
        <v>0.6</v>
      </c>
      <c r="I25" s="286">
        <f>H25*E25</f>
        <v>24000</v>
      </c>
      <c r="J25" s="34"/>
    </row>
    <row r="26" spans="1:10" ht="12.95" customHeight="1" x14ac:dyDescent="0.25">
      <c r="A26" s="291">
        <v>5</v>
      </c>
      <c r="B26" s="297" t="s">
        <v>11</v>
      </c>
      <c r="C26" s="293" t="s">
        <v>27</v>
      </c>
      <c r="D26" s="141"/>
      <c r="E26" s="322">
        <f>_5.03</f>
        <v>0</v>
      </c>
      <c r="F26" s="263"/>
      <c r="G26" s="263"/>
      <c r="H26" s="285">
        <v>0</v>
      </c>
      <c r="I26" s="286">
        <f>E26*H26</f>
        <v>0</v>
      </c>
      <c r="J26" s="34"/>
    </row>
    <row r="27" spans="1:10" ht="4.1500000000000004" customHeight="1" x14ac:dyDescent="0.25">
      <c r="D27" s="139"/>
      <c r="E27" s="294"/>
      <c r="F27" s="33"/>
      <c r="G27" s="33"/>
      <c r="H27" s="283"/>
      <c r="I27" s="287"/>
      <c r="J27" s="34"/>
    </row>
    <row r="28" spans="1:10" s="10" customFormat="1" ht="12.95" customHeight="1" x14ac:dyDescent="0.2">
      <c r="A28" s="645">
        <v>6</v>
      </c>
      <c r="B28" s="645"/>
      <c r="C28" s="76" t="s">
        <v>28</v>
      </c>
      <c r="D28" s="138">
        <f>E28/$E$36</f>
        <v>1.6E-2</v>
      </c>
      <c r="E28" s="321">
        <f>_6</f>
        <v>65000</v>
      </c>
      <c r="F28" s="263"/>
      <c r="G28" s="263"/>
      <c r="H28" s="299">
        <v>1</v>
      </c>
      <c r="I28" s="286">
        <f>E28*H28</f>
        <v>65000</v>
      </c>
      <c r="J28" s="34"/>
    </row>
    <row r="29" spans="1:10" ht="4.1500000000000004" customHeight="1" x14ac:dyDescent="0.25">
      <c r="B29" s="13"/>
      <c r="D29" s="142"/>
      <c r="E29" s="300"/>
      <c r="F29" s="33"/>
      <c r="G29" s="33"/>
      <c r="H29" s="283"/>
      <c r="I29" s="287"/>
      <c r="J29" s="34"/>
    </row>
    <row r="30" spans="1:10" s="11" customFormat="1" ht="12.95" customHeight="1" x14ac:dyDescent="0.2">
      <c r="A30" s="645">
        <v>7</v>
      </c>
      <c r="B30" s="645"/>
      <c r="C30" s="76" t="s">
        <v>54</v>
      </c>
      <c r="D30" s="138">
        <f>E30/$E$36</f>
        <v>0.185</v>
      </c>
      <c r="E30" s="321">
        <f>_7</f>
        <v>750000</v>
      </c>
      <c r="F30" s="263"/>
      <c r="G30" s="263"/>
      <c r="H30" s="285">
        <v>0</v>
      </c>
      <c r="I30" s="286">
        <f>E30*H30</f>
        <v>0</v>
      </c>
      <c r="J30" s="34"/>
    </row>
    <row r="31" spans="1:10" ht="4.1500000000000004" customHeight="1" x14ac:dyDescent="0.25">
      <c r="D31" s="142"/>
      <c r="E31" s="300"/>
      <c r="F31" s="33"/>
      <c r="G31" s="33"/>
      <c r="H31" s="283"/>
      <c r="I31" s="287"/>
      <c r="J31" s="34"/>
    </row>
    <row r="32" spans="1:10" s="11" customFormat="1" ht="12.95" customHeight="1" x14ac:dyDescent="0.2">
      <c r="A32" s="645">
        <v>8</v>
      </c>
      <c r="B32" s="645"/>
      <c r="C32" s="76" t="s">
        <v>30</v>
      </c>
      <c r="D32" s="138">
        <f>E32/$E$36</f>
        <v>1E-3</v>
      </c>
      <c r="E32" s="321">
        <f>_8</f>
        <v>3600</v>
      </c>
      <c r="F32" s="263"/>
      <c r="G32" s="263"/>
      <c r="H32" s="299">
        <v>0</v>
      </c>
      <c r="I32" s="286">
        <f>E32*H32</f>
        <v>0</v>
      </c>
      <c r="J32" s="34"/>
    </row>
    <row r="33" spans="1:11" ht="4.1500000000000004" customHeight="1" x14ac:dyDescent="0.25">
      <c r="D33" s="142"/>
      <c r="E33" s="300"/>
      <c r="F33" s="33"/>
      <c r="G33" s="33"/>
      <c r="H33" s="295"/>
      <c r="I33" s="287"/>
      <c r="J33" s="158"/>
    </row>
    <row r="34" spans="1:11" s="11" customFormat="1" ht="12.95" customHeight="1" x14ac:dyDescent="0.2">
      <c r="A34" s="645">
        <v>9</v>
      </c>
      <c r="B34" s="645"/>
      <c r="C34" s="76" t="s">
        <v>31</v>
      </c>
      <c r="D34" s="138">
        <f>E34/$E$36</f>
        <v>5.5E-2</v>
      </c>
      <c r="E34" s="321">
        <f>_9</f>
        <v>225000</v>
      </c>
      <c r="F34" s="263"/>
      <c r="G34" s="263"/>
      <c r="H34" s="299">
        <v>0.4</v>
      </c>
      <c r="I34" s="286">
        <f>E34*H34</f>
        <v>90000</v>
      </c>
      <c r="J34" s="34"/>
    </row>
    <row r="35" spans="1:11" ht="9.9499999999999993" customHeight="1" x14ac:dyDescent="0.25">
      <c r="B35" s="13"/>
      <c r="D35" s="32"/>
      <c r="E35" s="300"/>
      <c r="F35" s="33"/>
      <c r="G35" s="33"/>
      <c r="H35" s="229"/>
      <c r="I35" s="229"/>
      <c r="J35" s="1"/>
    </row>
    <row r="36" spans="1:11" ht="12.95" customHeight="1" x14ac:dyDescent="0.25">
      <c r="A36" s="66" t="s">
        <v>56</v>
      </c>
      <c r="B36" s="63"/>
      <c r="C36" s="63"/>
      <c r="D36" s="71">
        <f>SUM(D7:D34)</f>
        <v>1</v>
      </c>
      <c r="E36" s="301">
        <f>_EK</f>
        <v>4058600</v>
      </c>
      <c r="F36" s="263"/>
      <c r="G36" s="263"/>
      <c r="H36" s="263"/>
      <c r="I36" s="301">
        <f>SUBTOTAL(9,I7:I34)</f>
        <v>3144000</v>
      </c>
      <c r="J36" s="22"/>
    </row>
    <row r="37" spans="1:11" ht="4.1500000000000004" customHeight="1" x14ac:dyDescent="0.25">
      <c r="B37" s="265"/>
      <c r="D37" s="32"/>
      <c r="E37" s="300"/>
      <c r="F37" s="33"/>
      <c r="G37" s="33"/>
      <c r="H37" s="247"/>
      <c r="I37" s="244"/>
      <c r="J37" s="1"/>
      <c r="K37" s="1"/>
    </row>
    <row r="38" spans="1:11" s="10" customFormat="1" ht="12.95" customHeight="1" x14ac:dyDescent="0.25">
      <c r="A38" s="302"/>
      <c r="B38" s="75" t="s">
        <v>34</v>
      </c>
      <c r="C38" s="76"/>
      <c r="D38" s="138"/>
      <c r="E38" s="321">
        <f>_mvB</f>
        <v>120000</v>
      </c>
      <c r="F38" s="263"/>
      <c r="G38" s="263"/>
      <c r="H38" s="299">
        <v>1</v>
      </c>
      <c r="I38" s="286">
        <f>E38*H38</f>
        <v>120000</v>
      </c>
    </row>
    <row r="39" spans="1:11" ht="9.9499999999999993" customHeight="1" x14ac:dyDescent="0.25">
      <c r="B39" s="265"/>
      <c r="D39" s="32"/>
      <c r="E39" s="110"/>
    </row>
    <row r="40" spans="1:11" s="112" customFormat="1" ht="12.95" customHeight="1" x14ac:dyDescent="0.25">
      <c r="A40" s="198" t="s">
        <v>58</v>
      </c>
      <c r="B40" s="199"/>
      <c r="C40" s="199"/>
      <c r="D40" s="199"/>
      <c r="E40" s="199"/>
      <c r="F40" s="199"/>
      <c r="G40" s="199"/>
      <c r="H40" s="303"/>
      <c r="I40" s="304">
        <f>I36+I38</f>
        <v>3264000</v>
      </c>
      <c r="J40" s="115"/>
    </row>
    <row r="41" spans="1:11" ht="15" customHeight="1" x14ac:dyDescent="0.25"/>
    <row r="42" spans="1:11" ht="12.75" customHeight="1" x14ac:dyDescent="0.25">
      <c r="A42" s="161" t="s">
        <v>105</v>
      </c>
      <c r="B42" s="161"/>
      <c r="C42" s="162"/>
      <c r="D42" s="162"/>
      <c r="E42" s="162"/>
      <c r="F42" s="162"/>
      <c r="G42" s="162"/>
      <c r="H42" s="161"/>
      <c r="I42" s="267"/>
      <c r="J42" s="164"/>
    </row>
    <row r="43" spans="1:11" ht="6.75" customHeight="1" x14ac:dyDescent="0.25">
      <c r="A43" s="163"/>
      <c r="B43" s="163"/>
      <c r="C43" s="163"/>
      <c r="D43" s="163"/>
      <c r="E43" s="163"/>
      <c r="F43" s="163"/>
      <c r="G43" s="163"/>
      <c r="I43" s="183"/>
    </row>
    <row r="44" spans="1:11" ht="12.75" customHeight="1" x14ac:dyDescent="0.25">
      <c r="A44" s="164" t="s">
        <v>106</v>
      </c>
      <c r="B44" s="163"/>
      <c r="C44" s="163"/>
      <c r="D44" s="163"/>
      <c r="E44" s="163"/>
      <c r="F44" s="163"/>
      <c r="G44" s="163"/>
      <c r="I44" s="183"/>
    </row>
    <row r="45" spans="1:11" ht="12.75" customHeight="1" x14ac:dyDescent="0.25">
      <c r="A45" s="18"/>
      <c r="B45" s="18"/>
      <c r="E45" s="165" t="s">
        <v>60</v>
      </c>
      <c r="F45" s="166" t="s">
        <v>61</v>
      </c>
      <c r="G45" s="166"/>
      <c r="H45" s="647" t="s">
        <v>107</v>
      </c>
      <c r="I45" s="647"/>
      <c r="J45" s="248"/>
    </row>
    <row r="46" spans="1:11" ht="12.75" customHeight="1" x14ac:dyDescent="0.25">
      <c r="B46" s="19" t="s">
        <v>63</v>
      </c>
      <c r="C46" s="35"/>
      <c r="D46" s="35"/>
      <c r="E46" s="305">
        <v>15</v>
      </c>
      <c r="F46" s="167" t="s">
        <v>64</v>
      </c>
      <c r="G46" s="166"/>
      <c r="H46" s="306"/>
      <c r="I46" s="307"/>
      <c r="J46" s="248"/>
    </row>
    <row r="47" spans="1:11" ht="12.75" customHeight="1" x14ac:dyDescent="0.25">
      <c r="B47" s="20" t="s">
        <v>65</v>
      </c>
      <c r="C47" s="36"/>
      <c r="D47" s="36"/>
      <c r="E47" s="119">
        <v>2</v>
      </c>
      <c r="F47" s="168" t="s">
        <v>66</v>
      </c>
      <c r="G47" s="166"/>
      <c r="H47" s="308"/>
      <c r="I47" s="309"/>
      <c r="J47" s="248"/>
    </row>
    <row r="48" spans="1:11" ht="12.75" customHeight="1" x14ac:dyDescent="0.25">
      <c r="B48" s="20" t="s">
        <v>67</v>
      </c>
      <c r="C48" s="36"/>
      <c r="D48" s="36"/>
      <c r="E48" s="310">
        <v>1</v>
      </c>
      <c r="F48" s="168" t="s">
        <v>66</v>
      </c>
      <c r="G48" s="166"/>
      <c r="H48" s="308"/>
      <c r="I48" s="309"/>
      <c r="J48" s="248"/>
    </row>
    <row r="49" spans="1:11" ht="12.75" customHeight="1" x14ac:dyDescent="0.25">
      <c r="B49" s="20" t="s">
        <v>68</v>
      </c>
      <c r="C49" s="36"/>
      <c r="D49" s="36"/>
      <c r="E49" s="119">
        <v>2</v>
      </c>
      <c r="F49" s="168" t="s">
        <v>66</v>
      </c>
      <c r="G49" s="166"/>
      <c r="H49" s="308"/>
      <c r="I49" s="309"/>
      <c r="J49" s="248"/>
    </row>
    <row r="50" spans="1:11" ht="4.5" customHeight="1" x14ac:dyDescent="0.25">
      <c r="A50" s="18"/>
      <c r="B50" s="18"/>
      <c r="C50" s="171"/>
      <c r="D50" s="171"/>
      <c r="E50" s="171"/>
      <c r="F50" s="171"/>
      <c r="G50" s="171"/>
      <c r="I50" s="245"/>
      <c r="J50" s="1"/>
    </row>
    <row r="51" spans="1:11" ht="12.75" customHeight="1" x14ac:dyDescent="0.25">
      <c r="B51" s="18" t="s">
        <v>75</v>
      </c>
      <c r="C51" s="170"/>
      <c r="D51" s="171"/>
      <c r="E51" s="172">
        <f>SUM(E46:E49)</f>
        <v>20</v>
      </c>
      <c r="F51" s="171"/>
      <c r="G51" s="171"/>
      <c r="I51" s="245"/>
      <c r="J51" s="1"/>
    </row>
    <row r="52" spans="1:11" ht="12.95" customHeight="1" x14ac:dyDescent="0.25">
      <c r="B52" s="18"/>
      <c r="C52" s="171"/>
      <c r="D52" s="171"/>
      <c r="E52" s="171"/>
      <c r="F52" s="171"/>
      <c r="G52" s="171"/>
      <c r="I52" s="245"/>
      <c r="J52" s="1"/>
    </row>
    <row r="53" spans="1:11" ht="12.95" customHeight="1" x14ac:dyDescent="0.25">
      <c r="A53" s="164" t="s">
        <v>76</v>
      </c>
      <c r="B53" s="164"/>
      <c r="C53" s="163"/>
      <c r="D53" s="163"/>
      <c r="E53" s="163"/>
      <c r="F53" s="163"/>
      <c r="G53" s="163"/>
      <c r="H53" s="268"/>
      <c r="I53" s="1"/>
    </row>
    <row r="54" spans="1:11" ht="4.5" customHeight="1" x14ac:dyDescent="0.25">
      <c r="A54" s="164"/>
      <c r="B54" s="164"/>
      <c r="C54" s="164"/>
      <c r="I54" s="1"/>
    </row>
    <row r="55" spans="1:11" ht="12.75" customHeight="1" x14ac:dyDescent="0.25">
      <c r="A55" s="173" t="s">
        <v>77</v>
      </c>
      <c r="B55" s="173"/>
      <c r="E55" s="200">
        <f>I40</f>
        <v>3264000</v>
      </c>
      <c r="I55" s="1"/>
    </row>
    <row r="56" spans="1:11" ht="4.1500000000000004" customHeight="1" x14ac:dyDescent="0.25">
      <c r="A56" s="18"/>
      <c r="B56" s="18"/>
      <c r="C56" s="18"/>
      <c r="D56" s="18"/>
      <c r="E56" s="170"/>
      <c r="I56"/>
    </row>
    <row r="57" spans="1:11" s="110" customFormat="1" ht="13.15" customHeight="1" x14ac:dyDescent="0.25">
      <c r="A57" s="18" t="s">
        <v>108</v>
      </c>
      <c r="B57" s="18"/>
      <c r="E57" s="100">
        <f>0.02*E51+0.92</f>
        <v>1.32</v>
      </c>
      <c r="F57" s="648" t="str">
        <f>IF(I40&lt;500000,"! gemäß BKG.9b: Ist die Bemessungsgrundlage niedriger als 500.00 €, sollte der Ermittlungsweg Abschätzen des Personalaufwandes gewählt werden","")</f>
        <v/>
      </c>
      <c r="G57" s="648"/>
      <c r="H57" s="648"/>
      <c r="I57" s="648"/>
      <c r="J57" s="269"/>
      <c r="K57" s="117"/>
    </row>
    <row r="58" spans="1:11" ht="4.1500000000000004" customHeight="1" x14ac:dyDescent="0.25">
      <c r="A58" s="18"/>
      <c r="B58" s="18"/>
      <c r="E58" s="28"/>
      <c r="F58" s="648"/>
      <c r="G58" s="648"/>
      <c r="H58" s="648"/>
      <c r="I58" s="648"/>
    </row>
    <row r="59" spans="1:11" s="110" customFormat="1" ht="18" customHeight="1" x14ac:dyDescent="0.25">
      <c r="A59" s="18" t="s">
        <v>109</v>
      </c>
      <c r="B59" s="18"/>
      <c r="E59" s="311">
        <f>ROUND(4.6*E55^(-0.15)*E57/100,6)</f>
        <v>6.4009999999999996E-3</v>
      </c>
      <c r="F59" s="648"/>
      <c r="G59" s="648"/>
      <c r="H59" s="648"/>
      <c r="I59" s="648"/>
      <c r="J59" s="269"/>
      <c r="K59" s="117"/>
    </row>
    <row r="60" spans="1:11" ht="12.75" customHeight="1" x14ac:dyDescent="0.2">
      <c r="A60" s="33" t="s">
        <v>110</v>
      </c>
      <c r="B60" s="18"/>
      <c r="C60" s="170"/>
      <c r="D60" s="171"/>
      <c r="E60" s="312">
        <v>0</v>
      </c>
      <c r="F60" s="648"/>
      <c r="G60" s="648"/>
      <c r="H60" s="648"/>
      <c r="I60" s="648"/>
      <c r="J60" s="1"/>
      <c r="K60" s="1"/>
    </row>
    <row r="61" spans="1:11" ht="4.1500000000000004" customHeight="1" x14ac:dyDescent="0.25">
      <c r="A61" s="18"/>
      <c r="B61" s="18"/>
      <c r="E61" s="174"/>
      <c r="F61" s="174"/>
      <c r="G61" s="174"/>
      <c r="I61"/>
    </row>
    <row r="62" spans="1:11" ht="15" customHeight="1" x14ac:dyDescent="0.3">
      <c r="A62" s="21" t="s">
        <v>111</v>
      </c>
      <c r="B62" s="19"/>
      <c r="C62" s="175"/>
      <c r="D62" s="175"/>
      <c r="E62" s="176"/>
      <c r="F62" s="579">
        <f>E55*E59*(1+E60)</f>
        <v>20893</v>
      </c>
      <c r="G62" s="240"/>
      <c r="I62" s="1"/>
    </row>
    <row r="63" spans="1:11" ht="4.1500000000000004" customHeight="1" x14ac:dyDescent="0.25">
      <c r="A63" s="23"/>
      <c r="B63" s="18"/>
      <c r="C63" s="163"/>
      <c r="D63" s="163"/>
      <c r="E63" s="177"/>
      <c r="F63" s="313"/>
      <c r="G63" s="177"/>
      <c r="I63" s="29"/>
    </row>
    <row r="64" spans="1:11" ht="12.95" customHeight="1" x14ac:dyDescent="0.25">
      <c r="A64" s="23"/>
      <c r="B64" s="18"/>
      <c r="C64" s="163"/>
      <c r="D64" s="278" t="s">
        <v>84</v>
      </c>
      <c r="E64" s="165" t="s">
        <v>60</v>
      </c>
      <c r="F64" s="177"/>
      <c r="G64" s="569"/>
      <c r="H64" s="169"/>
      <c r="I64" s="29"/>
    </row>
    <row r="65" spans="1:13" ht="12.75" customHeight="1" x14ac:dyDescent="0.25">
      <c r="A65" s="163" t="s">
        <v>112</v>
      </c>
      <c r="B65" s="163"/>
      <c r="D65" s="254">
        <v>0.02</v>
      </c>
      <c r="E65" s="224">
        <v>0.02</v>
      </c>
      <c r="F65" s="183">
        <f>$F$62*E65</f>
        <v>418</v>
      </c>
      <c r="G65" s="314"/>
      <c r="H65" s="570"/>
      <c r="I65" s="183"/>
    </row>
    <row r="66" spans="1:13" ht="12.75" customHeight="1" x14ac:dyDescent="0.25">
      <c r="A66" s="163" t="s">
        <v>86</v>
      </c>
      <c r="B66" s="163"/>
      <c r="D66" s="254">
        <v>0.04</v>
      </c>
      <c r="E66" s="225">
        <v>0.04</v>
      </c>
      <c r="F66" s="183">
        <f t="shared" ref="F66:F74" si="1">$F$62*E66</f>
        <v>836</v>
      </c>
      <c r="G66" s="315"/>
      <c r="H66" s="571"/>
      <c r="I66" s="183"/>
    </row>
    <row r="67" spans="1:13" ht="12.75" customHeight="1" x14ac:dyDescent="0.25">
      <c r="A67" s="163" t="s">
        <v>87</v>
      </c>
      <c r="B67" s="163"/>
      <c r="D67" s="254">
        <v>0.06</v>
      </c>
      <c r="E67" s="225">
        <v>0.06</v>
      </c>
      <c r="F67" s="183">
        <f t="shared" si="1"/>
        <v>1254</v>
      </c>
      <c r="G67" s="315"/>
      <c r="H67" s="571"/>
      <c r="I67" s="183"/>
    </row>
    <row r="68" spans="1:13" ht="12.75" customHeight="1" x14ac:dyDescent="0.25">
      <c r="A68" s="163" t="s">
        <v>88</v>
      </c>
      <c r="B68" s="163"/>
      <c r="D68" s="254">
        <v>0.04</v>
      </c>
      <c r="E68" s="225">
        <v>0.04</v>
      </c>
      <c r="F68" s="183">
        <f t="shared" si="1"/>
        <v>836</v>
      </c>
      <c r="G68" s="315"/>
      <c r="H68" s="571"/>
      <c r="I68" s="183"/>
    </row>
    <row r="69" spans="1:13" ht="12.75" customHeight="1" x14ac:dyDescent="0.25">
      <c r="A69" s="163" t="s">
        <v>89</v>
      </c>
      <c r="B69" s="163"/>
      <c r="D69" s="254">
        <v>0.1</v>
      </c>
      <c r="E69" s="225">
        <v>0.1</v>
      </c>
      <c r="F69" s="183">
        <f t="shared" si="1"/>
        <v>2089</v>
      </c>
      <c r="G69" s="315"/>
      <c r="H69" s="571"/>
      <c r="I69" s="183"/>
    </row>
    <row r="70" spans="1:13" ht="12.75" customHeight="1" x14ac:dyDescent="0.25">
      <c r="A70" s="163" t="s">
        <v>90</v>
      </c>
      <c r="B70" s="163"/>
      <c r="D70" s="254">
        <v>0.03</v>
      </c>
      <c r="E70" s="225">
        <v>0.03</v>
      </c>
      <c r="F70" s="183">
        <f t="shared" si="1"/>
        <v>627</v>
      </c>
      <c r="G70" s="314"/>
      <c r="H70" s="570"/>
      <c r="I70" s="183"/>
    </row>
    <row r="71" spans="1:13" ht="12.75" customHeight="1" x14ac:dyDescent="0.25">
      <c r="A71" s="163" t="s">
        <v>91</v>
      </c>
      <c r="B71" s="163"/>
      <c r="D71" s="254">
        <v>0.01</v>
      </c>
      <c r="E71" s="225">
        <v>0.01</v>
      </c>
      <c r="F71" s="183">
        <f t="shared" si="1"/>
        <v>209</v>
      </c>
      <c r="G71" s="315"/>
      <c r="H71" s="571"/>
      <c r="I71" s="183"/>
    </row>
    <row r="72" spans="1:13" ht="12.75" customHeight="1" x14ac:dyDescent="0.25">
      <c r="A72" s="163" t="s">
        <v>113</v>
      </c>
      <c r="B72" s="163"/>
      <c r="D72" s="254">
        <v>0</v>
      </c>
      <c r="E72" s="225">
        <v>0</v>
      </c>
      <c r="F72" s="183">
        <f t="shared" si="1"/>
        <v>0</v>
      </c>
      <c r="G72" s="315"/>
      <c r="H72" s="571"/>
      <c r="I72" s="183"/>
    </row>
    <row r="73" spans="1:13" ht="12.75" customHeight="1" x14ac:dyDescent="0.25">
      <c r="A73" s="163" t="s">
        <v>114</v>
      </c>
      <c r="B73" s="163"/>
      <c r="D73" s="254">
        <v>0.7</v>
      </c>
      <c r="E73" s="225">
        <v>0.7</v>
      </c>
      <c r="F73" s="183">
        <f t="shared" si="1"/>
        <v>14625</v>
      </c>
      <c r="G73" s="315"/>
      <c r="H73" s="571"/>
      <c r="I73" s="183"/>
    </row>
    <row r="74" spans="1:13" ht="12.75" customHeight="1" x14ac:dyDescent="0.25">
      <c r="A74" s="175" t="s">
        <v>115</v>
      </c>
      <c r="B74" s="175"/>
      <c r="C74" s="35"/>
      <c r="D74" s="280">
        <v>0</v>
      </c>
      <c r="E74" s="226">
        <v>0</v>
      </c>
      <c r="F74" s="184">
        <f t="shared" si="1"/>
        <v>0</v>
      </c>
      <c r="G74" s="316"/>
      <c r="H74" s="572"/>
      <c r="I74" s="184"/>
    </row>
    <row r="75" spans="1:13" ht="13.5" customHeight="1" x14ac:dyDescent="0.25">
      <c r="A75" s="181" t="s">
        <v>116</v>
      </c>
      <c r="B75" s="163"/>
      <c r="D75" s="254">
        <f>SUM(D65:D74)</f>
        <v>1</v>
      </c>
      <c r="E75" s="227">
        <f>SUM(E65:E74)</f>
        <v>1</v>
      </c>
      <c r="F75" s="185">
        <f>SUM(F65:F74)</f>
        <v>20894</v>
      </c>
      <c r="G75" s="185"/>
      <c r="I75" s="580">
        <f>F75</f>
        <v>20894</v>
      </c>
    </row>
    <row r="76" spans="1:13" ht="12.75" customHeight="1" x14ac:dyDescent="0.2">
      <c r="A76" s="181"/>
      <c r="B76" s="18"/>
      <c r="D76" s="179"/>
      <c r="E76" s="179"/>
      <c r="F76" s="185"/>
      <c r="G76" s="8"/>
      <c r="I76" s="317"/>
      <c r="J76" s="1"/>
      <c r="K76" s="1"/>
    </row>
    <row r="77" spans="1:13" ht="12.75" customHeight="1" x14ac:dyDescent="0.25">
      <c r="A77" s="33" t="s">
        <v>98</v>
      </c>
      <c r="E77" s="356">
        <v>0</v>
      </c>
      <c r="F77" s="231">
        <v>0</v>
      </c>
      <c r="G77" s="581"/>
      <c r="I77" s="240">
        <f>E77*F77</f>
        <v>0</v>
      </c>
      <c r="L77"/>
      <c r="M77"/>
    </row>
    <row r="78" spans="1:13" ht="4.1500000000000004" customHeight="1" x14ac:dyDescent="0.25">
      <c r="E78" s="32"/>
      <c r="I78"/>
    </row>
    <row r="79" spans="1:13" s="23" customFormat="1" ht="12.75" x14ac:dyDescent="0.2">
      <c r="A79" s="94" t="s">
        <v>117</v>
      </c>
      <c r="B79" s="95"/>
      <c r="C79" s="96"/>
      <c r="D79" s="98"/>
      <c r="E79" s="228"/>
      <c r="F79" s="97"/>
      <c r="G79" s="97"/>
      <c r="H79" s="97"/>
      <c r="I79" s="99">
        <f>I75+I77</f>
        <v>20894</v>
      </c>
      <c r="K79" s="61"/>
    </row>
    <row r="80" spans="1:13" s="23" customFormat="1" ht="4.5" customHeight="1" x14ac:dyDescent="0.2">
      <c r="B80" s="24"/>
      <c r="C80" s="25"/>
      <c r="D80" s="47"/>
      <c r="E80" s="219"/>
      <c r="F80" s="48"/>
      <c r="G80" s="48"/>
      <c r="I80" s="91"/>
      <c r="K80" s="24"/>
    </row>
    <row r="81" spans="1:12" s="23" customFormat="1" ht="12.75" x14ac:dyDescent="0.2">
      <c r="A81" s="49" t="s">
        <v>40</v>
      </c>
      <c r="B81" s="24"/>
      <c r="C81" s="25"/>
      <c r="D81" s="47"/>
      <c r="E81" s="220">
        <v>0.04</v>
      </c>
      <c r="F81" s="48"/>
      <c r="G81" s="48"/>
      <c r="I81" s="91">
        <f>ROUND(I79*E81,2)</f>
        <v>836</v>
      </c>
      <c r="K81" s="24"/>
      <c r="L81" s="91"/>
    </row>
    <row r="82" spans="1:12" s="23" customFormat="1" ht="3" customHeight="1" x14ac:dyDescent="0.2">
      <c r="A82" s="50"/>
      <c r="B82" s="51"/>
      <c r="C82" s="52"/>
      <c r="D82" s="56"/>
      <c r="E82" s="221"/>
      <c r="F82" s="57"/>
      <c r="G82" s="57"/>
      <c r="H82" s="50"/>
      <c r="I82" s="93"/>
      <c r="K82" s="24"/>
    </row>
    <row r="83" spans="1:12" s="23" customFormat="1" ht="3" customHeight="1" x14ac:dyDescent="0.2">
      <c r="B83" s="24"/>
      <c r="C83" s="25"/>
      <c r="D83" s="26"/>
      <c r="E83" s="219"/>
      <c r="F83" s="48"/>
      <c r="G83" s="48"/>
      <c r="I83" s="91"/>
      <c r="K83" s="24"/>
    </row>
    <row r="84" spans="1:12" s="23" customFormat="1" ht="12.75" x14ac:dyDescent="0.2">
      <c r="A84" s="53" t="s">
        <v>118</v>
      </c>
      <c r="B84" s="54"/>
      <c r="C84" s="55"/>
      <c r="D84" s="26"/>
      <c r="E84" s="219"/>
      <c r="F84" s="48"/>
      <c r="G84" s="48"/>
      <c r="I84" s="92">
        <f>I79+I81</f>
        <v>21730</v>
      </c>
      <c r="K84" s="54"/>
    </row>
    <row r="85" spans="1:12" s="23" customFormat="1" ht="12.75" x14ac:dyDescent="0.2">
      <c r="A85" s="23" t="s">
        <v>48</v>
      </c>
      <c r="B85" s="24"/>
      <c r="C85" s="25"/>
      <c r="D85" s="26"/>
      <c r="E85" s="27">
        <v>0.2</v>
      </c>
      <c r="F85" s="27"/>
      <c r="G85" s="27"/>
      <c r="I85" s="91">
        <f>ROUND(I84*E85,2)</f>
        <v>4346</v>
      </c>
      <c r="K85" s="24"/>
    </row>
    <row r="86" spans="1:12" s="23" customFormat="1" ht="3" customHeight="1" x14ac:dyDescent="0.2">
      <c r="B86" s="24"/>
      <c r="C86" s="25"/>
      <c r="D86" s="26"/>
      <c r="E86" s="48"/>
      <c r="F86" s="48"/>
      <c r="G86" s="48"/>
      <c r="I86" s="91"/>
      <c r="K86" s="24"/>
    </row>
    <row r="87" spans="1:12" s="23" customFormat="1" ht="12.75" x14ac:dyDescent="0.2">
      <c r="A87" s="191" t="s">
        <v>119</v>
      </c>
      <c r="B87" s="201"/>
      <c r="C87" s="192"/>
      <c r="D87" s="194"/>
      <c r="E87" s="195"/>
      <c r="F87" s="195"/>
      <c r="G87" s="195"/>
      <c r="H87" s="193"/>
      <c r="I87" s="196">
        <f>SUM(I84:I85)</f>
        <v>26076</v>
      </c>
      <c r="K87" s="54"/>
    </row>
    <row r="88" spans="1:12" ht="5.0999999999999996" customHeight="1" x14ac:dyDescent="0.25"/>
    <row r="89" spans="1:12" x14ac:dyDescent="0.25">
      <c r="A89" s="203" t="s">
        <v>120</v>
      </c>
      <c r="E89" s="270">
        <f>I84/E36</f>
        <v>5.3540000000000003E-3</v>
      </c>
    </row>
  </sheetData>
  <sheetProtection algorithmName="SHA-512" hashValue="QbN0dMJjO4BFOvTfuh1LKmZhzhGhSiHGFSEV6E9KRHIoaxFOE2UWczKPTU5dDVPS9pWGLchIZ//p7RKOnexKOQ==" saltValue="oE3va9VdtWnZsnGvQYA6JA==" spinCount="100000" sheet="1" objects="1" scenarios="1"/>
  <mergeCells count="12">
    <mergeCell ref="F57:I60"/>
    <mergeCell ref="H2:I2"/>
    <mergeCell ref="A7:B7"/>
    <mergeCell ref="A9:B9"/>
    <mergeCell ref="A11:B11"/>
    <mergeCell ref="A21:B21"/>
    <mergeCell ref="A23:B23"/>
    <mergeCell ref="A28:B28"/>
    <mergeCell ref="A30:B30"/>
    <mergeCell ref="A32:B32"/>
    <mergeCell ref="A34:B34"/>
    <mergeCell ref="H45:I45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FDA2-A95F-4677-A01B-43345B42DF3C}">
  <sheetPr>
    <tabColor theme="6"/>
  </sheetPr>
  <dimension ref="A1:M99"/>
  <sheetViews>
    <sheetView showGridLines="0" topLeftCell="A58" zoomScaleNormal="100" zoomScaleSheetLayoutView="160" zoomScalePageLayoutView="130" workbookViewId="0">
      <selection activeCell="H10" sqref="H10"/>
    </sheetView>
  </sheetViews>
  <sheetFormatPr baseColWidth="10" defaultColWidth="11.5703125" defaultRowHeight="15" x14ac:dyDescent="0.25"/>
  <cols>
    <col min="1" max="1" width="1.5703125" style="110" customWidth="1"/>
    <col min="2" max="2" width="3.28515625" style="387" customWidth="1"/>
    <col min="3" max="3" width="46.28515625" style="387" customWidth="1"/>
    <col min="4" max="4" width="8.140625" style="110" customWidth="1"/>
    <col min="5" max="5" width="13.28515625" style="110" customWidth="1"/>
    <col min="6" max="6" width="14.7109375" style="110" customWidth="1"/>
    <col min="7" max="7" width="6" style="110" customWidth="1"/>
    <col min="8" max="8" width="11.7109375" style="110" customWidth="1"/>
    <col min="9" max="9" width="15.7109375" style="110" customWidth="1"/>
    <col min="10" max="10" width="2.28515625" style="110" customWidth="1"/>
    <col min="11" max="11" width="11.5703125" style="117"/>
    <col min="12" max="16384" width="11.5703125" style="110"/>
  </cols>
  <sheetData>
    <row r="1" spans="1:11" s="386" customFormat="1" ht="33" customHeight="1" x14ac:dyDescent="0.2">
      <c r="A1" s="385" t="s">
        <v>51</v>
      </c>
      <c r="C1" s="387"/>
      <c r="G1" s="388"/>
      <c r="H1" s="644" t="s">
        <v>121</v>
      </c>
      <c r="I1" s="644"/>
      <c r="J1" s="388"/>
      <c r="K1" s="389"/>
    </row>
    <row r="2" spans="1:11" s="10" customFormat="1" ht="0.95" customHeight="1" x14ac:dyDescent="0.25">
      <c r="A2" s="73"/>
      <c r="B2" s="73"/>
      <c r="C2" s="73"/>
      <c r="D2" s="73"/>
      <c r="E2" s="73"/>
      <c r="F2" s="73"/>
      <c r="G2" s="73"/>
      <c r="H2" s="73"/>
      <c r="I2" s="74"/>
    </row>
    <row r="3" spans="1:11" s="10" customFormat="1" ht="12" customHeight="1" x14ac:dyDescent="0.25">
      <c r="D3" s="69" t="s">
        <v>2</v>
      </c>
      <c r="E3" s="582" t="s">
        <v>3</v>
      </c>
      <c r="H3" s="12" t="s">
        <v>52</v>
      </c>
      <c r="I3" s="89" t="s">
        <v>53</v>
      </c>
      <c r="J3" s="30"/>
    </row>
    <row r="4" spans="1:11" s="10" customFormat="1" ht="2.4500000000000002" customHeight="1" x14ac:dyDescent="0.25">
      <c r="E4" s="583"/>
      <c r="I4" s="2"/>
      <c r="J4" s="67"/>
    </row>
    <row r="5" spans="1:11" s="11" customFormat="1" ht="12.75" customHeight="1" x14ac:dyDescent="0.25">
      <c r="A5" s="645">
        <v>1</v>
      </c>
      <c r="B5" s="645"/>
      <c r="C5" s="76" t="s">
        <v>4</v>
      </c>
      <c r="D5" s="138">
        <f>E5/E34</f>
        <v>2E-3</v>
      </c>
      <c r="E5" s="584">
        <f>_1</f>
        <v>10000</v>
      </c>
      <c r="F5" s="390"/>
      <c r="G5" s="390"/>
      <c r="H5" s="391">
        <v>0</v>
      </c>
      <c r="I5" s="392">
        <f>E5*H5</f>
        <v>0</v>
      </c>
      <c r="J5" s="3"/>
    </row>
    <row r="6" spans="1:11" ht="3" customHeight="1" x14ac:dyDescent="0.25">
      <c r="B6" s="393"/>
      <c r="C6" s="110"/>
      <c r="D6" s="142"/>
      <c r="E6" s="585"/>
      <c r="H6" s="70"/>
      <c r="I6" s="394"/>
      <c r="J6" s="3"/>
    </row>
    <row r="7" spans="1:11" s="11" customFormat="1" ht="12.75" customHeight="1" x14ac:dyDescent="0.25">
      <c r="A7" s="645">
        <v>2</v>
      </c>
      <c r="B7" s="645"/>
      <c r="C7" s="76" t="s">
        <v>5</v>
      </c>
      <c r="D7" s="138">
        <f>E7/E34</f>
        <v>0.37</v>
      </c>
      <c r="E7" s="584">
        <f>_2</f>
        <v>1500000</v>
      </c>
      <c r="F7" s="390"/>
      <c r="G7" s="390"/>
      <c r="H7" s="391">
        <v>1</v>
      </c>
      <c r="I7" s="392">
        <f>E7*H7</f>
        <v>1500000</v>
      </c>
      <c r="J7" s="3"/>
    </row>
    <row r="8" spans="1:11" ht="3" customHeight="1" x14ac:dyDescent="0.25">
      <c r="C8" s="110"/>
      <c r="D8" s="142"/>
      <c r="E8" s="586"/>
      <c r="H8" s="70"/>
      <c r="I8" s="364"/>
      <c r="J8" s="3"/>
    </row>
    <row r="9" spans="1:11" s="10" customFormat="1" ht="12.75" customHeight="1" x14ac:dyDescent="0.25">
      <c r="A9" s="645">
        <v>3</v>
      </c>
      <c r="B9" s="645"/>
      <c r="C9" s="76" t="s">
        <v>6</v>
      </c>
      <c r="D9" s="138">
        <f>E9/E34</f>
        <v>0.14899999999999999</v>
      </c>
      <c r="E9" s="587">
        <f>_3</f>
        <v>605000</v>
      </c>
      <c r="G9" s="642"/>
      <c r="H9" s="395" t="str">
        <f>IF(E9&gt;(E7+E19)/2,"Abminderung","keine Abminderung")</f>
        <v>keine Abminderung</v>
      </c>
      <c r="I9" s="396">
        <f>IF(H9="Abminderung",0,E9)</f>
        <v>605000</v>
      </c>
      <c r="J9" s="3"/>
    </row>
    <row r="10" spans="1:11" ht="11.45" customHeight="1" x14ac:dyDescent="0.25">
      <c r="A10" s="397">
        <v>3</v>
      </c>
      <c r="B10" s="398" t="s">
        <v>7</v>
      </c>
      <c r="C10" s="399" t="s">
        <v>8</v>
      </c>
      <c r="D10" s="239"/>
      <c r="E10" s="588">
        <f>_3.01</f>
        <v>120000</v>
      </c>
      <c r="F10" s="589" t="s">
        <v>122</v>
      </c>
      <c r="I10" s="599"/>
      <c r="J10" s="3"/>
    </row>
    <row r="11" spans="1:11" ht="11.45" customHeight="1" x14ac:dyDescent="0.25">
      <c r="A11" s="400">
        <v>3</v>
      </c>
      <c r="B11" s="401" t="s">
        <v>9</v>
      </c>
      <c r="C11" s="402" t="s">
        <v>10</v>
      </c>
      <c r="D11" s="403"/>
      <c r="E11" s="590">
        <f>_3.02</f>
        <v>130000</v>
      </c>
      <c r="F11" s="589" t="s">
        <v>123</v>
      </c>
      <c r="J11" s="3"/>
    </row>
    <row r="12" spans="1:11" ht="11.45" customHeight="1" x14ac:dyDescent="0.25">
      <c r="A12" s="400">
        <v>3</v>
      </c>
      <c r="B12" s="401" t="s">
        <v>11</v>
      </c>
      <c r="C12" s="402" t="s">
        <v>12</v>
      </c>
      <c r="D12" s="403"/>
      <c r="E12" s="591">
        <f>_3.03</f>
        <v>130000</v>
      </c>
      <c r="G12" s="404" t="s">
        <v>124</v>
      </c>
      <c r="H12" s="600">
        <f>E7+E19</f>
        <v>2300000</v>
      </c>
      <c r="I12" s="650" t="str">
        <f>IF(H9="Abminderung","$","")</f>
        <v/>
      </c>
      <c r="J12" s="3"/>
    </row>
    <row r="13" spans="1:11" ht="11.45" customHeight="1" x14ac:dyDescent="0.25">
      <c r="A13" s="400">
        <v>3</v>
      </c>
      <c r="B13" s="401" t="s">
        <v>13</v>
      </c>
      <c r="C13" s="402" t="s">
        <v>14</v>
      </c>
      <c r="D13" s="403"/>
      <c r="E13" s="591">
        <f>_3.04</f>
        <v>140000</v>
      </c>
      <c r="G13" s="70" t="s">
        <v>125</v>
      </c>
      <c r="H13" s="600">
        <f>H12*50%</f>
        <v>1150000</v>
      </c>
      <c r="I13" s="650"/>
      <c r="J13" s="3"/>
    </row>
    <row r="14" spans="1:11" ht="11.45" customHeight="1" x14ac:dyDescent="0.25">
      <c r="A14" s="400">
        <v>3</v>
      </c>
      <c r="B14" s="401" t="s">
        <v>15</v>
      </c>
      <c r="C14" s="402" t="s">
        <v>16</v>
      </c>
      <c r="D14" s="403"/>
      <c r="E14" s="591">
        <f>_3.05</f>
        <v>65000</v>
      </c>
      <c r="G14" s="404"/>
      <c r="H14" s="70" t="str">
        <f>IF(H9="Abminderung",100%,"")</f>
        <v/>
      </c>
      <c r="I14" s="601" t="str">
        <f>IF(H9="Abminderung",H13,"")</f>
        <v/>
      </c>
      <c r="J14" s="3"/>
    </row>
    <row r="15" spans="1:11" ht="11.45" customHeight="1" x14ac:dyDescent="0.25">
      <c r="A15" s="400">
        <v>3</v>
      </c>
      <c r="B15" s="401" t="s">
        <v>17</v>
      </c>
      <c r="C15" s="402" t="s">
        <v>18</v>
      </c>
      <c r="D15" s="403"/>
      <c r="E15" s="591">
        <f>_3.06</f>
        <v>20000</v>
      </c>
      <c r="I15" s="650" t="str">
        <f>IF(H9="Abminderung","$","")</f>
        <v/>
      </c>
      <c r="J15" s="3"/>
    </row>
    <row r="16" spans="1:11" ht="11.45" customHeight="1" x14ac:dyDescent="0.25">
      <c r="A16" s="400">
        <v>3</v>
      </c>
      <c r="B16" s="401" t="s">
        <v>19</v>
      </c>
      <c r="C16" s="402" t="s">
        <v>20</v>
      </c>
      <c r="D16" s="403"/>
      <c r="E16" s="591">
        <f>_3.07</f>
        <v>0</v>
      </c>
      <c r="G16" s="404" t="str">
        <f>IF(H9="Abminderung","Differenz zu KGR 3 =","")</f>
        <v/>
      </c>
      <c r="H16" s="602" t="str">
        <f>IF(H9="Abminderung",E9-H13,"")</f>
        <v/>
      </c>
      <c r="I16" s="650"/>
      <c r="J16" s="3"/>
    </row>
    <row r="17" spans="1:11" ht="11.45" customHeight="1" x14ac:dyDescent="0.25">
      <c r="A17" s="400">
        <v>3</v>
      </c>
      <c r="B17" s="401" t="s">
        <v>21</v>
      </c>
      <c r="C17" s="405" t="s">
        <v>22</v>
      </c>
      <c r="D17" s="406"/>
      <c r="E17" s="591">
        <f>_3.08</f>
        <v>0</v>
      </c>
      <c r="H17" s="70" t="str">
        <f>IF(H9="Abminderung",50%,"")</f>
        <v/>
      </c>
      <c r="I17" s="603" t="str">
        <f>IF(H9="Abminderung",H17*H16,"")</f>
        <v/>
      </c>
      <c r="J17" s="3"/>
    </row>
    <row r="18" spans="1:11" ht="3" customHeight="1" x14ac:dyDescent="0.25">
      <c r="C18" s="110"/>
      <c r="D18" s="142"/>
      <c r="E18" s="586"/>
      <c r="H18" s="123"/>
      <c r="I18" s="597"/>
      <c r="J18" s="3"/>
    </row>
    <row r="19" spans="1:11" s="10" customFormat="1" ht="12.75" customHeight="1" x14ac:dyDescent="0.25">
      <c r="A19" s="645">
        <v>4</v>
      </c>
      <c r="B19" s="645"/>
      <c r="C19" s="76" t="s">
        <v>23</v>
      </c>
      <c r="D19" s="138">
        <f>E19/E34</f>
        <v>0.19700000000000001</v>
      </c>
      <c r="E19" s="584">
        <f>_4</f>
        <v>800000</v>
      </c>
      <c r="F19" s="592"/>
      <c r="G19" s="592"/>
      <c r="H19" s="407">
        <v>1</v>
      </c>
      <c r="I19" s="408">
        <f>E19*H19</f>
        <v>800000</v>
      </c>
      <c r="J19" s="3"/>
    </row>
    <row r="20" spans="1:11" ht="3" customHeight="1" x14ac:dyDescent="0.25">
      <c r="B20" s="393"/>
      <c r="C20" s="110"/>
      <c r="D20" s="142"/>
      <c r="E20" s="586"/>
      <c r="H20" s="70"/>
      <c r="I20" s="364"/>
      <c r="J20" s="3"/>
    </row>
    <row r="21" spans="1:11" s="11" customFormat="1" ht="12.75" customHeight="1" x14ac:dyDescent="0.25">
      <c r="A21" s="645">
        <v>5</v>
      </c>
      <c r="B21" s="645"/>
      <c r="C21" s="76" t="s">
        <v>24</v>
      </c>
      <c r="D21" s="138">
        <f>E21/E34</f>
        <v>2.5000000000000001E-2</v>
      </c>
      <c r="E21" s="593">
        <f>_5</f>
        <v>100000</v>
      </c>
      <c r="H21" s="70"/>
      <c r="I21" s="364"/>
      <c r="J21" s="3"/>
    </row>
    <row r="22" spans="1:11" ht="11.45" customHeight="1" x14ac:dyDescent="0.25">
      <c r="A22" s="410">
        <v>5</v>
      </c>
      <c r="B22" s="411" t="s">
        <v>7</v>
      </c>
      <c r="C22" s="399" t="s">
        <v>25</v>
      </c>
      <c r="D22" s="239"/>
      <c r="E22" s="590">
        <f>_5.01</f>
        <v>60000</v>
      </c>
      <c r="F22" s="594"/>
      <c r="G22" s="594"/>
      <c r="H22" s="391">
        <v>0</v>
      </c>
      <c r="I22" s="409">
        <f>E22*H22</f>
        <v>0</v>
      </c>
      <c r="J22" s="3"/>
      <c r="K22" s="412"/>
    </row>
    <row r="23" spans="1:11" ht="11.45" customHeight="1" x14ac:dyDescent="0.25">
      <c r="A23" s="390">
        <v>5</v>
      </c>
      <c r="B23" s="413" t="s">
        <v>9</v>
      </c>
      <c r="C23" s="402" t="s">
        <v>26</v>
      </c>
      <c r="D23" s="403"/>
      <c r="E23" s="590">
        <f>_5.02</f>
        <v>40000</v>
      </c>
      <c r="F23" s="390"/>
      <c r="G23" s="390"/>
      <c r="H23" s="414">
        <v>0</v>
      </c>
      <c r="I23" s="415">
        <f>E23*H23</f>
        <v>0</v>
      </c>
      <c r="J23" s="3"/>
      <c r="K23" s="412"/>
    </row>
    <row r="24" spans="1:11" ht="11.45" customHeight="1" x14ac:dyDescent="0.25">
      <c r="A24" s="390">
        <v>5</v>
      </c>
      <c r="B24" s="413" t="s">
        <v>11</v>
      </c>
      <c r="C24" s="402" t="s">
        <v>27</v>
      </c>
      <c r="D24" s="403"/>
      <c r="E24" s="590">
        <f>_5.03</f>
        <v>0</v>
      </c>
      <c r="F24" s="390"/>
      <c r="G24" s="390"/>
      <c r="H24" s="391">
        <v>0</v>
      </c>
      <c r="I24" s="416">
        <f>E24*H24</f>
        <v>0</v>
      </c>
      <c r="J24" s="3"/>
      <c r="K24" s="412"/>
    </row>
    <row r="25" spans="1:11" ht="3" customHeight="1" x14ac:dyDescent="0.25">
      <c r="C25" s="110"/>
      <c r="D25" s="142"/>
      <c r="E25" s="586"/>
      <c r="H25" s="70"/>
      <c r="I25" s="364"/>
      <c r="J25" s="3"/>
    </row>
    <row r="26" spans="1:11" s="10" customFormat="1" ht="12.75" customHeight="1" x14ac:dyDescent="0.25">
      <c r="A26" s="645">
        <v>6</v>
      </c>
      <c r="B26" s="645"/>
      <c r="C26" s="76" t="s">
        <v>28</v>
      </c>
      <c r="D26" s="138">
        <f>E26/E34</f>
        <v>1.6E-2</v>
      </c>
      <c r="E26" s="584">
        <f>_6</f>
        <v>65000</v>
      </c>
      <c r="F26" s="390"/>
      <c r="G26" s="390"/>
      <c r="H26" s="407">
        <v>0</v>
      </c>
      <c r="I26" s="408">
        <f>E26*H26</f>
        <v>0</v>
      </c>
      <c r="J26" s="3"/>
    </row>
    <row r="27" spans="1:11" ht="3" customHeight="1" x14ac:dyDescent="0.25">
      <c r="A27" s="243"/>
      <c r="C27" s="110"/>
      <c r="D27" s="142"/>
      <c r="E27" s="586"/>
      <c r="H27" s="70"/>
      <c r="I27" s="364"/>
      <c r="J27" s="3"/>
    </row>
    <row r="28" spans="1:11" s="11" customFormat="1" ht="12.75" customHeight="1" x14ac:dyDescent="0.25">
      <c r="A28" s="645">
        <v>7</v>
      </c>
      <c r="B28" s="645"/>
      <c r="C28" s="76" t="s">
        <v>126</v>
      </c>
      <c r="D28" s="138">
        <f>E28/E34</f>
        <v>0.185</v>
      </c>
      <c r="E28" s="584">
        <f>_7</f>
        <v>750000</v>
      </c>
      <c r="F28" s="390"/>
      <c r="G28" s="390"/>
      <c r="H28" s="407">
        <v>0</v>
      </c>
      <c r="I28" s="408">
        <f>E28*H28</f>
        <v>0</v>
      </c>
      <c r="J28" s="3"/>
    </row>
    <row r="29" spans="1:11" ht="3" customHeight="1" x14ac:dyDescent="0.25">
      <c r="A29" s="387"/>
      <c r="C29" s="110"/>
      <c r="D29" s="142"/>
      <c r="E29" s="586"/>
      <c r="H29" s="70"/>
      <c r="I29" s="364"/>
      <c r="J29" s="3"/>
    </row>
    <row r="30" spans="1:11" s="11" customFormat="1" ht="12.75" customHeight="1" x14ac:dyDescent="0.25">
      <c r="A30" s="645">
        <v>8</v>
      </c>
      <c r="B30" s="645"/>
      <c r="C30" s="76" t="s">
        <v>30</v>
      </c>
      <c r="D30" s="138">
        <f>E30/E34</f>
        <v>1E-3</v>
      </c>
      <c r="E30" s="584">
        <f>_8</f>
        <v>3600</v>
      </c>
      <c r="F30" s="390"/>
      <c r="G30" s="390"/>
      <c r="H30" s="407">
        <v>0</v>
      </c>
      <c r="I30" s="408">
        <f>E30*H30</f>
        <v>0</v>
      </c>
      <c r="J30" s="3"/>
    </row>
    <row r="31" spans="1:11" ht="3" customHeight="1" x14ac:dyDescent="0.25">
      <c r="A31" s="387"/>
      <c r="C31" s="110"/>
      <c r="D31" s="142"/>
      <c r="E31" s="586"/>
      <c r="H31" s="123"/>
      <c r="I31" s="364"/>
      <c r="J31" s="3"/>
    </row>
    <row r="32" spans="1:11" s="11" customFormat="1" ht="12.75" customHeight="1" x14ac:dyDescent="0.25">
      <c r="A32" s="645">
        <v>9</v>
      </c>
      <c r="B32" s="645"/>
      <c r="C32" s="76" t="s">
        <v>31</v>
      </c>
      <c r="D32" s="138">
        <f>E32/E34</f>
        <v>5.5E-2</v>
      </c>
      <c r="E32" s="584">
        <f>_9</f>
        <v>225000</v>
      </c>
      <c r="F32" s="390"/>
      <c r="G32" s="390"/>
      <c r="H32" s="407">
        <v>0.1</v>
      </c>
      <c r="I32" s="408">
        <f>E32*H32</f>
        <v>22500</v>
      </c>
      <c r="J32" s="3"/>
    </row>
    <row r="33" spans="1:13" ht="3" customHeight="1" x14ac:dyDescent="0.25">
      <c r="B33" s="243"/>
      <c r="C33" s="417"/>
      <c r="D33" s="418"/>
      <c r="E33" s="586"/>
      <c r="I33" s="364"/>
    </row>
    <row r="34" spans="1:13" ht="12.75" customHeight="1" x14ac:dyDescent="0.25">
      <c r="A34" s="113" t="s">
        <v>56</v>
      </c>
      <c r="B34" s="114"/>
      <c r="C34" s="114"/>
      <c r="D34" s="419">
        <f>SUM(D5:D32)</f>
        <v>1</v>
      </c>
      <c r="E34" s="595">
        <f>SUM(E5+E7+E9+E19+E21+E26+E28+E30+E32)</f>
        <v>4058600</v>
      </c>
      <c r="F34" s="596"/>
      <c r="G34" s="596"/>
      <c r="H34" s="421"/>
      <c r="I34" s="420">
        <f>IF(H9="Abminderung",I5+I7+I9+I14+I17+I19+I22+I23+I24+I26+I28+I30+I32,SUM(I5:I9)+SUM(I19:I32))</f>
        <v>2927500</v>
      </c>
      <c r="J34" s="422"/>
    </row>
    <row r="35" spans="1:13" ht="3" customHeight="1" x14ac:dyDescent="0.25">
      <c r="A35" s="423"/>
      <c r="D35" s="418"/>
      <c r="E35" s="597"/>
      <c r="H35" s="214"/>
      <c r="I35" s="364"/>
    </row>
    <row r="36" spans="1:13" s="10" customFormat="1" ht="12.75" customHeight="1" x14ac:dyDescent="0.25">
      <c r="A36" s="424"/>
      <c r="B36" s="651" t="s">
        <v>127</v>
      </c>
      <c r="C36" s="651"/>
      <c r="D36" s="652"/>
      <c r="E36" s="598">
        <f>_mvB</f>
        <v>120000</v>
      </c>
      <c r="F36" s="263"/>
      <c r="G36" s="263"/>
      <c r="H36" s="299">
        <v>1</v>
      </c>
      <c r="I36" s="282">
        <f>E36*H36</f>
        <v>120000</v>
      </c>
    </row>
    <row r="37" spans="1:13" ht="6" customHeight="1" x14ac:dyDescent="0.25">
      <c r="C37" s="110"/>
      <c r="I37" s="425"/>
      <c r="K37" s="110"/>
    </row>
    <row r="38" spans="1:13" s="112" customFormat="1" ht="12.75" customHeight="1" x14ac:dyDescent="0.25">
      <c r="A38" s="198" t="s">
        <v>58</v>
      </c>
      <c r="B38" s="199"/>
      <c r="C38" s="199"/>
      <c r="D38" s="199"/>
      <c r="E38" s="199"/>
      <c r="F38" s="199"/>
      <c r="G38" s="199"/>
      <c r="H38" s="303"/>
      <c r="I38" s="426">
        <f>SUM(I34:I36)</f>
        <v>3047500</v>
      </c>
      <c r="J38" s="427"/>
    </row>
    <row r="39" spans="1:13" ht="6" customHeight="1" x14ac:dyDescent="0.25">
      <c r="B39" s="2"/>
      <c r="C39" s="2"/>
    </row>
    <row r="40" spans="1:13" ht="12.75" customHeight="1" x14ac:dyDescent="0.25">
      <c r="A40" s="161" t="s">
        <v>128</v>
      </c>
      <c r="B40" s="161"/>
      <c r="C40" s="161"/>
      <c r="D40" s="162"/>
      <c r="E40" s="162"/>
      <c r="F40" s="162"/>
      <c r="G40" s="162"/>
      <c r="H40" s="162"/>
      <c r="I40" s="162"/>
      <c r="J40" s="428"/>
    </row>
    <row r="41" spans="1:13" ht="3" customHeight="1" x14ac:dyDescent="0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</row>
    <row r="42" spans="1:13" ht="12.75" customHeight="1" x14ac:dyDescent="0.25">
      <c r="A42" s="164" t="s">
        <v>106</v>
      </c>
      <c r="B42" s="163"/>
      <c r="C42" s="163"/>
      <c r="D42" s="163"/>
      <c r="E42" s="163"/>
      <c r="F42" s="163"/>
      <c r="G42" s="163"/>
      <c r="H42" s="163"/>
      <c r="I42" s="163"/>
      <c r="J42" s="163"/>
    </row>
    <row r="43" spans="1:13" ht="11.25" customHeight="1" x14ac:dyDescent="0.25">
      <c r="A43" s="18"/>
      <c r="B43" s="18"/>
      <c r="C43" s="18"/>
      <c r="E43" s="165" t="s">
        <v>60</v>
      </c>
      <c r="F43" s="166" t="s">
        <v>61</v>
      </c>
      <c r="H43" s="653" t="s">
        <v>62</v>
      </c>
      <c r="I43" s="653"/>
      <c r="J43" s="169"/>
    </row>
    <row r="44" spans="1:13" ht="12.75" customHeight="1" x14ac:dyDescent="0.25">
      <c r="B44" s="19" t="s">
        <v>63</v>
      </c>
      <c r="C44" s="429"/>
      <c r="D44" s="430"/>
      <c r="E44" s="118">
        <v>22</v>
      </c>
      <c r="F44" s="167" t="s">
        <v>129</v>
      </c>
      <c r="H44" s="431"/>
      <c r="I44" s="432"/>
      <c r="J44" s="169"/>
    </row>
    <row r="45" spans="1:13" ht="12.75" customHeight="1" x14ac:dyDescent="0.25">
      <c r="B45" s="20" t="s">
        <v>65</v>
      </c>
      <c r="C45" s="433"/>
      <c r="D45" s="434"/>
      <c r="E45" s="119">
        <v>2</v>
      </c>
      <c r="F45" s="168" t="s">
        <v>66</v>
      </c>
      <c r="H45" s="435"/>
      <c r="I45" s="436"/>
    </row>
    <row r="46" spans="1:13" ht="12.75" customHeight="1" x14ac:dyDescent="0.25">
      <c r="B46" s="20" t="s">
        <v>67</v>
      </c>
      <c r="C46" s="433"/>
      <c r="D46" s="434"/>
      <c r="E46" s="119">
        <v>1</v>
      </c>
      <c r="F46" s="168" t="s">
        <v>66</v>
      </c>
      <c r="H46" s="435"/>
      <c r="I46" s="436"/>
      <c r="M46" s="634"/>
    </row>
    <row r="47" spans="1:13" s="117" customFormat="1" ht="12.75" customHeight="1" x14ac:dyDescent="0.25">
      <c r="A47" s="110"/>
      <c r="B47" s="20" t="s">
        <v>68</v>
      </c>
      <c r="C47" s="434"/>
      <c r="D47" s="434"/>
      <c r="E47" s="119">
        <v>2</v>
      </c>
      <c r="F47" s="168" t="s">
        <v>66</v>
      </c>
      <c r="G47" s="110"/>
      <c r="H47" s="435"/>
      <c r="I47" s="436"/>
      <c r="J47" s="110"/>
    </row>
    <row r="48" spans="1:13" s="117" customFormat="1" ht="3" customHeight="1" x14ac:dyDescent="0.25">
      <c r="A48" s="18"/>
      <c r="B48" s="18"/>
      <c r="C48" s="18"/>
      <c r="D48" s="110"/>
      <c r="E48" s="169"/>
      <c r="F48" s="110"/>
      <c r="G48" s="110"/>
      <c r="H48" s="436"/>
      <c r="I48" s="436"/>
      <c r="J48" s="110"/>
    </row>
    <row r="49" spans="1:10" s="117" customFormat="1" ht="11.25" customHeight="1" x14ac:dyDescent="0.25">
      <c r="A49" s="110"/>
      <c r="B49" s="18"/>
      <c r="C49" s="437" t="s">
        <v>130</v>
      </c>
      <c r="D49" s="434"/>
      <c r="E49" s="119">
        <v>0</v>
      </c>
      <c r="F49" s="168" t="s">
        <v>70</v>
      </c>
      <c r="G49" s="110"/>
      <c r="H49" s="438"/>
      <c r="I49" s="438"/>
      <c r="J49" s="171"/>
    </row>
    <row r="50" spans="1:10" s="117" customFormat="1" ht="11.25" customHeight="1" x14ac:dyDescent="0.25">
      <c r="A50" s="110"/>
      <c r="B50" s="18"/>
      <c r="C50" s="437" t="s">
        <v>71</v>
      </c>
      <c r="D50" s="434"/>
      <c r="E50" s="119">
        <v>0</v>
      </c>
      <c r="F50" s="168" t="s">
        <v>72</v>
      </c>
      <c r="G50" s="110"/>
      <c r="H50" s="439"/>
      <c r="I50" s="439"/>
      <c r="J50" s="171"/>
    </row>
    <row r="51" spans="1:10" s="117" customFormat="1" ht="11.25" customHeight="1" x14ac:dyDescent="0.25">
      <c r="A51" s="110"/>
      <c r="B51" s="18"/>
      <c r="C51" s="437" t="s">
        <v>73</v>
      </c>
      <c r="D51" s="434"/>
      <c r="E51" s="119">
        <v>0</v>
      </c>
      <c r="F51" s="168" t="s">
        <v>131</v>
      </c>
      <c r="G51" s="110"/>
      <c r="H51" s="438"/>
      <c r="I51" s="438"/>
      <c r="J51" s="171"/>
    </row>
    <row r="52" spans="1:10" s="117" customFormat="1" ht="11.25" customHeight="1" x14ac:dyDescent="0.25">
      <c r="A52" s="110"/>
      <c r="B52" s="18"/>
      <c r="C52" s="437" t="s">
        <v>132</v>
      </c>
      <c r="D52" s="434"/>
      <c r="E52" s="119">
        <v>0</v>
      </c>
      <c r="F52" s="168" t="s">
        <v>70</v>
      </c>
      <c r="G52" s="110"/>
      <c r="H52" s="438"/>
      <c r="I52" s="438"/>
      <c r="J52" s="171"/>
    </row>
    <row r="53" spans="1:10" s="117" customFormat="1" ht="3" customHeight="1" x14ac:dyDescent="0.25">
      <c r="A53" s="18"/>
      <c r="B53" s="18"/>
      <c r="C53" s="110"/>
      <c r="D53" s="171"/>
      <c r="E53" s="171"/>
      <c r="F53" s="171"/>
      <c r="G53" s="110"/>
      <c r="H53" s="171"/>
      <c r="I53" s="171"/>
      <c r="J53" s="171"/>
    </row>
    <row r="54" spans="1:10" s="117" customFormat="1" ht="12.75" customHeight="1" x14ac:dyDescent="0.25">
      <c r="A54" s="110"/>
      <c r="B54" s="18" t="s">
        <v>75</v>
      </c>
      <c r="C54" s="110"/>
      <c r="D54" s="170"/>
      <c r="E54" s="172">
        <f>SUM(E44:E53)</f>
        <v>27</v>
      </c>
      <c r="F54" s="171"/>
      <c r="G54" s="110"/>
      <c r="H54" s="171"/>
      <c r="I54" s="171"/>
      <c r="J54" s="171"/>
    </row>
    <row r="55" spans="1:10" s="117" customFormat="1" ht="5.0999999999999996" customHeight="1" x14ac:dyDescent="0.25">
      <c r="A55" s="110"/>
      <c r="B55" s="18"/>
      <c r="C55" s="110"/>
      <c r="D55" s="171"/>
      <c r="E55" s="171"/>
      <c r="F55" s="171"/>
      <c r="G55" s="110"/>
      <c r="H55" s="171"/>
      <c r="I55" s="171"/>
      <c r="J55" s="171"/>
    </row>
    <row r="56" spans="1:10" s="117" customFormat="1" ht="12.75" customHeight="1" x14ac:dyDescent="0.25">
      <c r="A56" s="164" t="s">
        <v>76</v>
      </c>
      <c r="B56" s="164"/>
      <c r="C56" s="163"/>
      <c r="D56" s="163"/>
      <c r="E56" s="163"/>
      <c r="F56" s="163"/>
      <c r="G56" s="110"/>
      <c r="H56" s="163"/>
      <c r="I56" s="163"/>
      <c r="J56" s="163"/>
    </row>
    <row r="57" spans="1:10" s="117" customFormat="1" ht="3.75" customHeight="1" x14ac:dyDescent="0.25">
      <c r="A57" s="164"/>
      <c r="B57" s="164"/>
      <c r="C57" s="164"/>
      <c r="D57" s="164"/>
      <c r="E57" s="110"/>
      <c r="F57" s="110"/>
      <c r="G57" s="110"/>
      <c r="H57" s="110"/>
      <c r="I57" s="110"/>
      <c r="J57" s="110"/>
    </row>
    <row r="58" spans="1:10" s="117" customFormat="1" ht="12.75" customHeight="1" x14ac:dyDescent="0.25">
      <c r="A58" s="173" t="s">
        <v>77</v>
      </c>
      <c r="B58" s="173"/>
      <c r="C58" s="110"/>
      <c r="D58" s="110"/>
      <c r="E58" s="200">
        <f>I38</f>
        <v>3047500</v>
      </c>
      <c r="F58" s="110"/>
      <c r="G58" s="110"/>
      <c r="H58" s="440"/>
      <c r="I58" s="186"/>
      <c r="J58" s="186"/>
    </row>
    <row r="59" spans="1:10" s="117" customFormat="1" ht="3" customHeight="1" x14ac:dyDescent="0.25">
      <c r="A59" s="18"/>
      <c r="B59" s="18"/>
      <c r="C59" s="18"/>
      <c r="D59" s="18"/>
      <c r="E59" s="170"/>
      <c r="F59" s="18"/>
      <c r="G59" s="110"/>
      <c r="H59" s="171"/>
      <c r="I59" s="171"/>
      <c r="J59" s="171"/>
    </row>
    <row r="60" spans="1:10" s="117" customFormat="1" ht="12.75" customHeight="1" x14ac:dyDescent="0.25">
      <c r="A60" s="18" t="s">
        <v>133</v>
      </c>
      <c r="B60" s="18"/>
      <c r="C60" s="18"/>
      <c r="D60" s="110"/>
      <c r="E60" s="100">
        <f>0.0198*E54+0.9406</f>
        <v>1.48</v>
      </c>
      <c r="F60" s="110"/>
      <c r="G60" s="110"/>
      <c r="H60" s="101"/>
      <c r="I60" s="101"/>
      <c r="J60" s="101"/>
    </row>
    <row r="61" spans="1:10" s="117" customFormat="1" ht="12.75" customHeight="1" x14ac:dyDescent="0.25">
      <c r="A61" s="18" t="s">
        <v>134</v>
      </c>
      <c r="B61" s="18"/>
      <c r="C61" s="18"/>
      <c r="D61" s="110"/>
      <c r="E61" s="441">
        <f>ROUND(IF(E58&lt;2000000,40*E58^(-0.1208)*E60/100,(12.2611*E58^(-0.0394)*E60)/100),6)</f>
        <v>0.100768</v>
      </c>
      <c r="F61" s="110"/>
      <c r="G61" s="110"/>
      <c r="H61" s="442"/>
      <c r="I61" s="187"/>
      <c r="J61" s="443"/>
    </row>
    <row r="62" spans="1:10" s="117" customFormat="1" ht="12.75" customHeight="1" x14ac:dyDescent="0.25">
      <c r="A62" s="18" t="s">
        <v>135</v>
      </c>
      <c r="B62" s="18"/>
      <c r="C62" s="18"/>
      <c r="D62" s="110"/>
      <c r="E62" s="444">
        <f>40*E58^(-0.1208)*E60/100</f>
        <v>9.7513000000000002E-2</v>
      </c>
      <c r="F62" s="110"/>
      <c r="G62" s="110"/>
      <c r="H62" s="187"/>
      <c r="I62" s="445" t="str">
        <f>IF(E58&lt;2000000,"(PL + ÖBA)","")</f>
        <v/>
      </c>
      <c r="J62" s="443"/>
    </row>
    <row r="63" spans="1:10" s="117" customFormat="1" ht="12.75" customHeight="1" x14ac:dyDescent="0.25">
      <c r="A63" s="18" t="s">
        <v>136</v>
      </c>
      <c r="B63" s="18"/>
      <c r="C63" s="18"/>
      <c r="D63" s="18"/>
      <c r="E63" s="311">
        <f>ROUND((12.2611*E58^(-0.0394)*E60)/100,6)</f>
        <v>0.100768</v>
      </c>
      <c r="F63" s="446" t="str">
        <f>IF(E58&gt;1999999.99,"(PL + ÖBA)","")</f>
        <v>(PL + ÖBA)</v>
      </c>
      <c r="G63" s="110"/>
      <c r="H63" s="187"/>
      <c r="I63" s="110"/>
      <c r="J63" s="443"/>
    </row>
    <row r="64" spans="1:10" s="117" customFormat="1" ht="12.75" customHeight="1" x14ac:dyDescent="0.25">
      <c r="A64" s="18" t="s">
        <v>137</v>
      </c>
      <c r="B64" s="18"/>
      <c r="C64" s="18"/>
      <c r="D64" s="110"/>
      <c r="E64" s="636">
        <v>0</v>
      </c>
      <c r="F64" s="110"/>
      <c r="G64" s="110"/>
      <c r="H64" s="447"/>
      <c r="I64" s="174"/>
      <c r="J64" s="448"/>
    </row>
    <row r="65" spans="1:11" s="117" customFormat="1" ht="15" customHeight="1" x14ac:dyDescent="0.25">
      <c r="A65" s="19" t="s">
        <v>138</v>
      </c>
      <c r="B65" s="19"/>
      <c r="C65" s="19"/>
      <c r="D65" s="175"/>
      <c r="E65" s="175"/>
      <c r="F65" s="271">
        <f>ROUND(E58*(E61)*(1+E64),2)</f>
        <v>307090</v>
      </c>
      <c r="G65" s="177"/>
      <c r="H65" s="177"/>
      <c r="I65" s="110"/>
      <c r="J65" s="177"/>
    </row>
    <row r="66" spans="1:11" s="117" customFormat="1" ht="3" customHeight="1" x14ac:dyDescent="0.25">
      <c r="A66" s="18"/>
      <c r="B66" s="18"/>
      <c r="C66" s="18"/>
      <c r="D66" s="163"/>
      <c r="E66" s="163"/>
      <c r="F66" s="163"/>
      <c r="G66" s="177"/>
      <c r="H66" s="177"/>
      <c r="I66" s="177"/>
      <c r="J66" s="177"/>
    </row>
    <row r="67" spans="1:11" s="117" customFormat="1" ht="11.25" customHeight="1" x14ac:dyDescent="0.25">
      <c r="A67" s="18"/>
      <c r="B67" s="18"/>
      <c r="C67" s="18"/>
      <c r="D67" s="337" t="s">
        <v>84</v>
      </c>
      <c r="E67" s="338" t="s">
        <v>60</v>
      </c>
      <c r="F67" s="110"/>
      <c r="G67" s="569"/>
      <c r="H67" s="165"/>
      <c r="I67" s="177"/>
      <c r="J67" s="177"/>
    </row>
    <row r="68" spans="1:11" s="117" customFormat="1" ht="12.75" customHeight="1" x14ac:dyDescent="0.25">
      <c r="A68" s="163" t="s">
        <v>139</v>
      </c>
      <c r="B68" s="163"/>
      <c r="C68" s="178"/>
      <c r="D68" s="339">
        <v>0.02</v>
      </c>
      <c r="E68" s="224">
        <v>0.02</v>
      </c>
      <c r="F68" s="183">
        <f t="shared" ref="F68:F77" si="0">$F$65*E68</f>
        <v>6142</v>
      </c>
      <c r="G68" s="314"/>
      <c r="H68" s="570"/>
      <c r="I68" s="183"/>
      <c r="J68" s="179"/>
    </row>
    <row r="69" spans="1:11" s="117" customFormat="1" ht="12.75" customHeight="1" x14ac:dyDescent="0.25">
      <c r="A69" s="163" t="s">
        <v>86</v>
      </c>
      <c r="B69" s="163"/>
      <c r="C69" s="178"/>
      <c r="D69" s="339">
        <v>0.08</v>
      </c>
      <c r="E69" s="225">
        <v>0.08</v>
      </c>
      <c r="F69" s="183">
        <f t="shared" si="0"/>
        <v>24567</v>
      </c>
      <c r="G69" s="315"/>
      <c r="H69" s="571"/>
      <c r="I69" s="183"/>
      <c r="J69" s="179"/>
    </row>
    <row r="70" spans="1:11" s="117" customFormat="1" ht="12.75" customHeight="1" x14ac:dyDescent="0.25">
      <c r="A70" s="163" t="s">
        <v>87</v>
      </c>
      <c r="B70" s="163"/>
      <c r="C70" s="178"/>
      <c r="D70" s="339">
        <v>0.12</v>
      </c>
      <c r="E70" s="225">
        <v>0.12</v>
      </c>
      <c r="F70" s="183">
        <f t="shared" si="0"/>
        <v>36851</v>
      </c>
      <c r="G70" s="315"/>
      <c r="H70" s="571"/>
      <c r="I70" s="183"/>
      <c r="J70" s="179"/>
    </row>
    <row r="71" spans="1:11" s="117" customFormat="1" ht="12.75" customHeight="1" x14ac:dyDescent="0.25">
      <c r="A71" s="163" t="s">
        <v>88</v>
      </c>
      <c r="B71" s="163"/>
      <c r="C71" s="178"/>
      <c r="D71" s="339">
        <v>0.05</v>
      </c>
      <c r="E71" s="225">
        <v>0.05</v>
      </c>
      <c r="F71" s="183">
        <f t="shared" si="0"/>
        <v>15355</v>
      </c>
      <c r="G71" s="315"/>
      <c r="H71" s="571"/>
      <c r="I71" s="183"/>
      <c r="J71" s="179"/>
    </row>
    <row r="72" spans="1:11" s="117" customFormat="1" ht="12.75" customHeight="1" x14ac:dyDescent="0.25">
      <c r="A72" s="163" t="s">
        <v>89</v>
      </c>
      <c r="B72" s="163"/>
      <c r="C72" s="178"/>
      <c r="D72" s="339">
        <v>0.22</v>
      </c>
      <c r="E72" s="225">
        <v>0.22</v>
      </c>
      <c r="F72" s="183">
        <f t="shared" si="0"/>
        <v>67560</v>
      </c>
      <c r="G72" s="315"/>
      <c r="H72" s="571"/>
      <c r="I72" s="183"/>
      <c r="J72" s="179"/>
    </row>
    <row r="73" spans="1:11" ht="12.75" customHeight="1" x14ac:dyDescent="0.25">
      <c r="A73" s="163" t="s">
        <v>90</v>
      </c>
      <c r="B73" s="163"/>
      <c r="C73" s="178"/>
      <c r="D73" s="339">
        <v>0.06</v>
      </c>
      <c r="E73" s="225">
        <v>0.06</v>
      </c>
      <c r="F73" s="183">
        <f t="shared" si="0"/>
        <v>18425</v>
      </c>
      <c r="G73" s="314"/>
      <c r="H73" s="570"/>
      <c r="I73" s="183"/>
      <c r="J73" s="179"/>
    </row>
    <row r="74" spans="1:11" ht="12.75" customHeight="1" x14ac:dyDescent="0.25">
      <c r="A74" s="163" t="s">
        <v>91</v>
      </c>
      <c r="B74" s="163"/>
      <c r="C74" s="178"/>
      <c r="D74" s="339">
        <v>0.02</v>
      </c>
      <c r="E74" s="225">
        <v>0.02</v>
      </c>
      <c r="F74" s="183">
        <f t="shared" si="0"/>
        <v>6142</v>
      </c>
      <c r="G74" s="315"/>
      <c r="H74" s="571"/>
      <c r="I74" s="183"/>
      <c r="J74" s="179"/>
    </row>
    <row r="75" spans="1:11" ht="12.75" customHeight="1" x14ac:dyDescent="0.25">
      <c r="A75" s="163" t="s">
        <v>113</v>
      </c>
      <c r="B75" s="163"/>
      <c r="C75" s="178"/>
      <c r="D75" s="339">
        <v>0.04</v>
      </c>
      <c r="E75" s="225">
        <v>0.04</v>
      </c>
      <c r="F75" s="183">
        <f t="shared" si="0"/>
        <v>12284</v>
      </c>
      <c r="G75" s="315"/>
      <c r="H75" s="571"/>
      <c r="I75" s="183"/>
      <c r="J75" s="179"/>
    </row>
    <row r="76" spans="1:11" ht="12.75" customHeight="1" x14ac:dyDescent="0.25">
      <c r="A76" s="163" t="s">
        <v>93</v>
      </c>
      <c r="B76" s="163"/>
      <c r="C76" s="178"/>
      <c r="D76" s="339">
        <v>0.37</v>
      </c>
      <c r="E76" s="225">
        <v>0.37</v>
      </c>
      <c r="F76" s="183">
        <f t="shared" si="0"/>
        <v>113623</v>
      </c>
      <c r="G76" s="315"/>
      <c r="H76" s="571"/>
      <c r="I76" s="183"/>
      <c r="J76" s="179"/>
    </row>
    <row r="77" spans="1:11" ht="12.75" customHeight="1" x14ac:dyDescent="0.25">
      <c r="A77" s="175" t="s">
        <v>115</v>
      </c>
      <c r="B77" s="175"/>
      <c r="C77" s="180"/>
      <c r="D77" s="340">
        <v>0.02</v>
      </c>
      <c r="E77" s="226">
        <v>0.02</v>
      </c>
      <c r="F77" s="184">
        <f t="shared" si="0"/>
        <v>6142</v>
      </c>
      <c r="G77" s="316"/>
      <c r="H77" s="572"/>
      <c r="I77" s="184"/>
      <c r="J77" s="179"/>
    </row>
    <row r="78" spans="1:11" s="16" customFormat="1" ht="18.600000000000001" customHeight="1" x14ac:dyDescent="0.25">
      <c r="A78" s="381" t="s">
        <v>116</v>
      </c>
      <c r="B78" s="382"/>
      <c r="C78" s="449"/>
      <c r="D78" s="450">
        <f>SUM(D68:D77)</f>
        <v>1</v>
      </c>
      <c r="E78" s="383">
        <f>SUM(E68:E77)</f>
        <v>1</v>
      </c>
      <c r="F78" s="372">
        <f>SUM(F68:F77)</f>
        <v>307091</v>
      </c>
      <c r="G78" s="450"/>
      <c r="H78" s="383"/>
      <c r="I78" s="372"/>
      <c r="J78" s="371"/>
      <c r="K78" s="31"/>
    </row>
    <row r="79" spans="1:11" ht="12.75" customHeight="1" x14ac:dyDescent="0.25">
      <c r="A79" s="253" t="s">
        <v>235</v>
      </c>
      <c r="B79" s="163"/>
      <c r="C79" s="110"/>
      <c r="D79" s="339">
        <v>0.01</v>
      </c>
      <c r="E79" s="225">
        <v>0.01</v>
      </c>
      <c r="F79" s="183">
        <f>$F$65*E79</f>
        <v>3071</v>
      </c>
      <c r="G79" s="179"/>
      <c r="H79" s="183"/>
      <c r="I79" s="451"/>
      <c r="K79" s="110"/>
    </row>
    <row r="80" spans="1:11" ht="12.75" customHeight="1" x14ac:dyDescent="0.25">
      <c r="A80" s="253" t="s">
        <v>152</v>
      </c>
      <c r="B80" s="163"/>
      <c r="C80" s="110"/>
      <c r="D80" s="339">
        <v>1.4999999999999999E-2</v>
      </c>
      <c r="E80" s="225">
        <v>0</v>
      </c>
      <c r="F80" s="183">
        <f>$F$65*E80</f>
        <v>0</v>
      </c>
      <c r="G80" s="179"/>
      <c r="H80" s="183"/>
      <c r="I80" s="451"/>
      <c r="K80" s="110"/>
    </row>
    <row r="81" spans="1:11" ht="12.75" customHeight="1" x14ac:dyDescent="0.25">
      <c r="A81" s="253" t="s">
        <v>236</v>
      </c>
      <c r="B81" s="163"/>
      <c r="C81" s="110"/>
      <c r="D81" s="339">
        <v>2.5000000000000001E-2</v>
      </c>
      <c r="E81" s="225">
        <v>0</v>
      </c>
      <c r="F81" s="183">
        <f>$F$65*E81</f>
        <v>0</v>
      </c>
      <c r="G81" s="179"/>
      <c r="H81" s="183"/>
      <c r="I81" s="451"/>
      <c r="K81" s="110"/>
    </row>
    <row r="82" spans="1:11" ht="12.75" customHeight="1" x14ac:dyDescent="0.25">
      <c r="A82" s="253" t="s">
        <v>237</v>
      </c>
      <c r="B82" s="163"/>
      <c r="C82" s="110"/>
      <c r="D82" s="628">
        <v>0.03</v>
      </c>
      <c r="E82" s="225">
        <v>0</v>
      </c>
      <c r="F82" s="183">
        <f>$F$66*E82</f>
        <v>0</v>
      </c>
      <c r="G82" s="179"/>
      <c r="H82" s="183"/>
      <c r="I82" s="451"/>
      <c r="K82" s="110"/>
    </row>
    <row r="83" spans="1:11" ht="12.75" customHeight="1" x14ac:dyDescent="0.25">
      <c r="A83" s="253" t="s">
        <v>238</v>
      </c>
      <c r="B83" s="163"/>
      <c r="C83" s="110"/>
      <c r="D83" s="628">
        <v>0.02</v>
      </c>
      <c r="E83" s="225">
        <v>0</v>
      </c>
      <c r="F83" s="183">
        <f>$F$66*E83</f>
        <v>0</v>
      </c>
      <c r="G83" s="179"/>
      <c r="H83" s="183"/>
      <c r="I83" s="451"/>
      <c r="K83" s="110"/>
    </row>
    <row r="84" spans="1:11" ht="12.75" customHeight="1" x14ac:dyDescent="0.25">
      <c r="A84" s="638" t="s">
        <v>260</v>
      </c>
      <c r="B84" s="163"/>
      <c r="C84" s="110"/>
      <c r="D84" s="339">
        <v>0.04</v>
      </c>
      <c r="E84" s="225">
        <v>0</v>
      </c>
      <c r="F84" s="183">
        <f>$F$65*E84</f>
        <v>0</v>
      </c>
      <c r="G84" s="179"/>
      <c r="H84" s="183"/>
      <c r="I84" s="451"/>
      <c r="K84" s="110"/>
    </row>
    <row r="85" spans="1:11" ht="12.75" customHeight="1" x14ac:dyDescent="0.25">
      <c r="A85" s="638" t="s">
        <v>258</v>
      </c>
      <c r="B85" s="163"/>
      <c r="C85" s="110"/>
      <c r="D85" s="628">
        <v>0.01</v>
      </c>
      <c r="E85" s="224">
        <v>0</v>
      </c>
      <c r="F85" s="183">
        <f>$F$65*E85</f>
        <v>0</v>
      </c>
      <c r="G85" s="179"/>
      <c r="H85" s="183"/>
      <c r="I85" s="451"/>
      <c r="K85" s="110"/>
    </row>
    <row r="86" spans="1:11" ht="12.75" customHeight="1" x14ac:dyDescent="0.25">
      <c r="A86" s="639" t="s">
        <v>250</v>
      </c>
      <c r="B86" s="175"/>
      <c r="C86" s="430"/>
      <c r="D86" s="340">
        <v>0.01</v>
      </c>
      <c r="E86" s="374">
        <v>0</v>
      </c>
      <c r="F86" s="184">
        <f>$F$66*E86</f>
        <v>0</v>
      </c>
      <c r="G86" s="604"/>
      <c r="H86" s="184"/>
      <c r="I86" s="605"/>
      <c r="K86" s="110"/>
    </row>
    <row r="87" spans="1:11" s="16" customFormat="1" ht="12.75" customHeight="1" x14ac:dyDescent="0.25">
      <c r="A87" s="649" t="s">
        <v>252</v>
      </c>
      <c r="B87" s="649"/>
      <c r="C87" s="649"/>
      <c r="D87" s="450">
        <f>SUM(D78:D86)</f>
        <v>1.1599999999999999</v>
      </c>
      <c r="E87" s="371">
        <f>SUM(E78:E86)</f>
        <v>1.01</v>
      </c>
      <c r="F87" s="372">
        <f>F78+SUM(F79:F86)</f>
        <v>310162</v>
      </c>
      <c r="G87" s="450"/>
      <c r="H87" s="183"/>
      <c r="I87" s="580">
        <f>F87</f>
        <v>310162</v>
      </c>
      <c r="J87" s="371"/>
      <c r="K87" s="31"/>
    </row>
    <row r="88" spans="1:11" ht="3.95" customHeight="1" x14ac:dyDescent="0.25"/>
    <row r="89" spans="1:11" ht="12.75" customHeight="1" x14ac:dyDescent="0.25">
      <c r="A89" s="229" t="s">
        <v>98</v>
      </c>
      <c r="E89" s="356">
        <v>0</v>
      </c>
      <c r="F89" s="231">
        <v>0</v>
      </c>
      <c r="I89" s="240">
        <f>E89*F89</f>
        <v>0</v>
      </c>
      <c r="K89" s="110"/>
    </row>
    <row r="90" spans="1:11" ht="3" customHeight="1" x14ac:dyDescent="0.25">
      <c r="G90" s="452"/>
      <c r="H90" s="452"/>
    </row>
    <row r="91" spans="1:11" s="18" customFormat="1" ht="12.75" customHeight="1" x14ac:dyDescent="0.25">
      <c r="A91" s="453" t="s">
        <v>140</v>
      </c>
      <c r="B91" s="454"/>
      <c r="C91" s="455"/>
      <c r="D91" s="455"/>
      <c r="E91" s="249"/>
      <c r="F91" s="456"/>
      <c r="G91" s="457"/>
      <c r="H91" s="457"/>
      <c r="I91" s="458">
        <f>I87+I89</f>
        <v>310162</v>
      </c>
      <c r="K91" s="459"/>
    </row>
    <row r="92" spans="1:11" s="18" customFormat="1" ht="3" customHeight="1" x14ac:dyDescent="0.25">
      <c r="B92" s="460"/>
      <c r="C92" s="461"/>
      <c r="D92" s="461"/>
      <c r="E92" s="462"/>
      <c r="F92" s="463"/>
      <c r="G92" s="464"/>
      <c r="H92" s="464"/>
      <c r="I92" s="451"/>
      <c r="J92" s="464"/>
      <c r="K92" s="460"/>
    </row>
    <row r="93" spans="1:11" s="18" customFormat="1" ht="12.75" customHeight="1" x14ac:dyDescent="0.25">
      <c r="A93" s="465" t="s">
        <v>40</v>
      </c>
      <c r="B93" s="460"/>
      <c r="C93" s="461"/>
      <c r="D93" s="461"/>
      <c r="E93" s="466">
        <v>0.04</v>
      </c>
      <c r="F93" s="463"/>
      <c r="H93" s="183"/>
      <c r="I93" s="451">
        <f>ROUND(I91*E93,2)</f>
        <v>12406</v>
      </c>
      <c r="J93" s="467"/>
      <c r="K93" s="460"/>
    </row>
    <row r="94" spans="1:11" s="18" customFormat="1" ht="3" customHeight="1" x14ac:dyDescent="0.25">
      <c r="A94" s="468"/>
      <c r="B94" s="469"/>
      <c r="C94" s="470"/>
      <c r="D94" s="470"/>
      <c r="E94" s="471"/>
      <c r="F94" s="471"/>
      <c r="G94" s="472"/>
      <c r="H94" s="472"/>
      <c r="I94" s="473"/>
      <c r="J94" s="474"/>
      <c r="K94" s="460"/>
    </row>
    <row r="95" spans="1:11" s="18" customFormat="1" ht="3" customHeight="1" x14ac:dyDescent="0.25">
      <c r="B95" s="460"/>
      <c r="C95" s="461"/>
      <c r="D95" s="461"/>
      <c r="E95" s="475"/>
      <c r="F95" s="475"/>
      <c r="G95" s="474"/>
      <c r="H95" s="474"/>
      <c r="I95" s="451"/>
      <c r="J95" s="474"/>
      <c r="K95" s="460"/>
    </row>
    <row r="96" spans="1:11" s="18" customFormat="1" ht="12.75" customHeight="1" x14ac:dyDescent="0.25">
      <c r="A96" s="476" t="s">
        <v>141</v>
      </c>
      <c r="B96" s="477"/>
      <c r="C96" s="478"/>
      <c r="D96" s="478"/>
      <c r="E96" s="475"/>
      <c r="F96" s="475"/>
      <c r="G96" s="474"/>
      <c r="H96" s="474"/>
      <c r="I96" s="479">
        <f>I91+I93</f>
        <v>322568</v>
      </c>
      <c r="J96" s="474"/>
      <c r="K96" s="477"/>
    </row>
    <row r="97" spans="1:11" s="18" customFormat="1" ht="12.75" customHeight="1" x14ac:dyDescent="0.25">
      <c r="A97" s="18" t="s">
        <v>48</v>
      </c>
      <c r="B97" s="460"/>
      <c r="D97" s="461"/>
      <c r="E97" s="467">
        <v>0.2</v>
      </c>
      <c r="F97" s="475"/>
      <c r="H97" s="467"/>
      <c r="I97" s="451">
        <f>ROUND(I96*E97,2)</f>
        <v>64514</v>
      </c>
      <c r="J97" s="467"/>
      <c r="K97" s="460"/>
    </row>
    <row r="98" spans="1:11" s="18" customFormat="1" ht="12.75" customHeight="1" x14ac:dyDescent="0.25">
      <c r="A98" s="480" t="s">
        <v>142</v>
      </c>
      <c r="B98" s="481"/>
      <c r="C98" s="482"/>
      <c r="D98" s="482"/>
      <c r="E98" s="483"/>
      <c r="F98" s="484"/>
      <c r="G98" s="483"/>
      <c r="H98" s="483"/>
      <c r="I98" s="485">
        <f>SUM(I96:I97)</f>
        <v>387082</v>
      </c>
      <c r="J98" s="486"/>
      <c r="K98" s="477"/>
    </row>
    <row r="99" spans="1:11" s="487" customFormat="1" ht="12" customHeight="1" x14ac:dyDescent="0.25">
      <c r="A99" s="487" t="s">
        <v>120</v>
      </c>
      <c r="B99" s="488"/>
      <c r="C99" s="488"/>
      <c r="E99" s="489">
        <f>I96/E34</f>
        <v>7.9477999999999993E-2</v>
      </c>
      <c r="H99" s="490"/>
      <c r="K99" s="491"/>
    </row>
  </sheetData>
  <sheetProtection algorithmName="SHA-512" hashValue="MU36ePOiWRFyWPJDaXuXYqIKkooFg8XigEzhnpW3z+M99X/8ZXPnNcy4ykUZAurNRUoLXDd2csc06hPr3oImag==" saltValue="gq9AcYU0+SOsKyWVEvU9nw==" spinCount="100000" sheet="1" objects="1" scenarios="1"/>
  <mergeCells count="15">
    <mergeCell ref="A87:C87"/>
    <mergeCell ref="I15:I16"/>
    <mergeCell ref="H1:I1"/>
    <mergeCell ref="A5:B5"/>
    <mergeCell ref="A7:B7"/>
    <mergeCell ref="A9:B9"/>
    <mergeCell ref="I12:I13"/>
    <mergeCell ref="B36:D36"/>
    <mergeCell ref="H43:I43"/>
    <mergeCell ref="A19:B19"/>
    <mergeCell ref="A21:B21"/>
    <mergeCell ref="A26:B26"/>
    <mergeCell ref="A28:B28"/>
    <mergeCell ref="A30:B30"/>
    <mergeCell ref="A32:B32"/>
  </mergeCells>
  <conditionalFormatting sqref="E62 H62">
    <cfRule type="expression" dxfId="7" priority="5" stopIfTrue="1">
      <formula>$E$58&gt;1999999.99</formula>
    </cfRule>
  </conditionalFormatting>
  <conditionalFormatting sqref="E63 H63">
    <cfRule type="expression" dxfId="6" priority="6" stopIfTrue="1">
      <formula>$E$58&lt;2000000</formula>
    </cfRule>
  </conditionalFormatting>
  <conditionalFormatting sqref="H17">
    <cfRule type="expression" dxfId="5" priority="2">
      <formula>H9="Abminderung"</formula>
    </cfRule>
  </conditionalFormatting>
  <conditionalFormatting sqref="H14:I14">
    <cfRule type="expression" dxfId="4" priority="4">
      <formula>H9="Abminderung"</formula>
    </cfRule>
  </conditionalFormatting>
  <conditionalFormatting sqref="I14">
    <cfRule type="expression" dxfId="3" priority="3">
      <formula>H9="Abminderung"</formula>
    </cfRule>
  </conditionalFormatting>
  <conditionalFormatting sqref="I17">
    <cfRule type="expression" dxfId="2" priority="1">
      <formula>H9="Abminderung"</formula>
    </cfRule>
  </conditionalFormatting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ignoredErrors>
    <ignoredError sqref="E7:E36 H12 H13:I17 I12 E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19050</xdr:rowOff>
                  </from>
                  <to>
                    <xdr:col>8</xdr:col>
                    <xdr:colOff>1028700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19050</xdr:rowOff>
                  </from>
                  <to>
                    <xdr:col>8</xdr:col>
                    <xdr:colOff>1028700</xdr:colOff>
                    <xdr:row>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19050</xdr:rowOff>
                  </from>
                  <to>
                    <xdr:col>8</xdr:col>
                    <xdr:colOff>1028700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19050</xdr:rowOff>
                  </from>
                  <to>
                    <xdr:col>8</xdr:col>
                    <xdr:colOff>1028700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49</xdr:row>
                    <xdr:rowOff>19050</xdr:rowOff>
                  </from>
                  <to>
                    <xdr:col>8</xdr:col>
                    <xdr:colOff>1028700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19050</xdr:rowOff>
                  </from>
                  <to>
                    <xdr:col>8</xdr:col>
                    <xdr:colOff>1028700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Scroll Bar 8">
              <controlPr defaultSize="0" autoPict="0">
                <anchor moveWithCells="1">
                  <from>
                    <xdr:col>7</xdr:col>
                    <xdr:colOff>38100</xdr:colOff>
                    <xdr:row>51</xdr:row>
                    <xdr:rowOff>19050</xdr:rowOff>
                  </from>
                  <to>
                    <xdr:col>8</xdr:col>
                    <xdr:colOff>1028700</xdr:colOff>
                    <xdr:row>51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5705-D9B6-46DA-A72E-F4334524CA89}">
  <sheetPr>
    <tabColor theme="6"/>
  </sheetPr>
  <dimension ref="A1:I96"/>
  <sheetViews>
    <sheetView showGridLines="0" zoomScaleNormal="100" zoomScaleSheetLayoutView="100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/>
    <col min="9" max="9" width="15.7109375" style="9" customWidth="1" collapsed="1"/>
    <col min="10" max="16384" width="11.5703125" style="1"/>
  </cols>
  <sheetData>
    <row r="1" spans="1:9" ht="5.0999999999999996" customHeight="1" x14ac:dyDescent="0.2"/>
    <row r="2" spans="1:9" s="37" customFormat="1" ht="35.1" customHeight="1" x14ac:dyDescent="0.2">
      <c r="A2" s="107" t="s">
        <v>51</v>
      </c>
      <c r="F2" s="38"/>
      <c r="G2" s="38"/>
      <c r="H2" s="644" t="s">
        <v>143</v>
      </c>
      <c r="I2" s="644"/>
    </row>
    <row r="3" spans="1:9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4"/>
    </row>
    <row r="4" spans="1:9" s="10" customFormat="1" ht="3.95" customHeight="1" x14ac:dyDescent="0.25">
      <c r="I4" s="2"/>
    </row>
    <row r="5" spans="1:9" s="10" customFormat="1" ht="12.95" customHeight="1" x14ac:dyDescent="0.25">
      <c r="D5" s="69" t="s">
        <v>2</v>
      </c>
      <c r="E5" s="30" t="s">
        <v>3</v>
      </c>
      <c r="G5" s="30"/>
      <c r="H5" s="12" t="s">
        <v>52</v>
      </c>
      <c r="I5" s="89" t="s">
        <v>53</v>
      </c>
    </row>
    <row r="6" spans="1:9" s="10" customFormat="1" ht="3.95" customHeight="1" x14ac:dyDescent="0.25">
      <c r="E6" s="67"/>
      <c r="I6" s="2"/>
    </row>
    <row r="7" spans="1:9" s="11" customFormat="1" ht="12.75" customHeight="1" x14ac:dyDescent="0.2">
      <c r="A7" s="645">
        <v>1</v>
      </c>
      <c r="B7" s="645"/>
      <c r="C7" s="76" t="s">
        <v>4</v>
      </c>
      <c r="D7" s="138">
        <f>E7/$E$28</f>
        <v>2E-3</v>
      </c>
      <c r="E7" s="153">
        <f>_1</f>
        <v>10000</v>
      </c>
      <c r="F7" s="72"/>
      <c r="G7" s="72"/>
      <c r="H7" s="104">
        <v>0</v>
      </c>
      <c r="I7" s="153">
        <f>E7*H7</f>
        <v>0</v>
      </c>
    </row>
    <row r="8" spans="1:9" ht="3.95" customHeight="1" x14ac:dyDescent="0.2">
      <c r="B8" s="4"/>
      <c r="D8" s="139"/>
      <c r="E8" s="127"/>
      <c r="H8" s="88"/>
      <c r="I8" s="127"/>
    </row>
    <row r="9" spans="1:9" s="11" customFormat="1" ht="12.95" customHeight="1" x14ac:dyDescent="0.2">
      <c r="A9" s="645">
        <v>2</v>
      </c>
      <c r="B9" s="645"/>
      <c r="C9" s="76" t="s">
        <v>5</v>
      </c>
      <c r="D9" s="138">
        <f>E9/$E$28</f>
        <v>0.37</v>
      </c>
      <c r="E9" s="153">
        <f>_2</f>
        <v>1500000</v>
      </c>
      <c r="F9" s="72"/>
      <c r="G9" s="72"/>
      <c r="H9" s="105">
        <v>0</v>
      </c>
      <c r="I9" s="153">
        <f>E9*H9</f>
        <v>0</v>
      </c>
    </row>
    <row r="10" spans="1:9" ht="3.95" customHeight="1" x14ac:dyDescent="0.2">
      <c r="D10" s="139"/>
      <c r="E10" s="126"/>
      <c r="H10" s="88"/>
      <c r="I10" s="126"/>
    </row>
    <row r="11" spans="1:9" s="10" customFormat="1" ht="12.95" customHeight="1" x14ac:dyDescent="0.2">
      <c r="A11" s="645">
        <v>3</v>
      </c>
      <c r="B11" s="645"/>
      <c r="C11" s="76" t="s">
        <v>6</v>
      </c>
      <c r="D11" s="138">
        <f>E11/$E$28</f>
        <v>0.14899999999999999</v>
      </c>
      <c r="E11" s="153">
        <f>_3</f>
        <v>605000</v>
      </c>
      <c r="F11" s="72"/>
      <c r="G11" s="72"/>
      <c r="H11" s="105">
        <v>0</v>
      </c>
      <c r="I11" s="153">
        <f>E11*H11</f>
        <v>0</v>
      </c>
    </row>
    <row r="12" spans="1:9" ht="3.95" customHeight="1" x14ac:dyDescent="0.2">
      <c r="D12" s="139"/>
      <c r="E12" s="126"/>
      <c r="H12" s="106"/>
      <c r="I12" s="126"/>
    </row>
    <row r="13" spans="1:9" s="10" customFormat="1" ht="12.75" customHeight="1" x14ac:dyDescent="0.2">
      <c r="A13" s="645">
        <v>4</v>
      </c>
      <c r="B13" s="645"/>
      <c r="C13" s="76" t="s">
        <v>23</v>
      </c>
      <c r="D13" s="138">
        <f>E13/$E$28</f>
        <v>0.19700000000000001</v>
      </c>
      <c r="E13" s="153">
        <f>_4</f>
        <v>800000</v>
      </c>
      <c r="F13" s="72"/>
      <c r="G13" s="72"/>
      <c r="H13" s="105">
        <v>0</v>
      </c>
      <c r="I13" s="153">
        <f>E13*H13</f>
        <v>0</v>
      </c>
    </row>
    <row r="14" spans="1:9" ht="3.95" customHeight="1" x14ac:dyDescent="0.2">
      <c r="B14" s="4"/>
      <c r="D14" s="139"/>
      <c r="E14" s="126"/>
      <c r="H14" s="88"/>
      <c r="I14" s="126"/>
    </row>
    <row r="15" spans="1:9" s="11" customFormat="1" ht="12.95" customHeight="1" x14ac:dyDescent="0.2">
      <c r="A15" s="645">
        <v>5</v>
      </c>
      <c r="B15" s="645"/>
      <c r="C15" s="76" t="s">
        <v>24</v>
      </c>
      <c r="D15" s="138">
        <f>E15/$E$28</f>
        <v>2.5000000000000001E-2</v>
      </c>
      <c r="E15" s="155">
        <f>SUBTOTAL(9,E16:E18)</f>
        <v>100000</v>
      </c>
      <c r="F15" s="72"/>
      <c r="G15" s="72"/>
      <c r="H15" s="88"/>
      <c r="I15" s="197"/>
    </row>
    <row r="16" spans="1:9" ht="12.95" customHeight="1" x14ac:dyDescent="0.2">
      <c r="A16" s="358">
        <v>5</v>
      </c>
      <c r="B16" s="86" t="s">
        <v>7</v>
      </c>
      <c r="C16" s="80" t="s">
        <v>25</v>
      </c>
      <c r="D16" s="140"/>
      <c r="E16" s="150">
        <f>_5.01</f>
        <v>60000</v>
      </c>
      <c r="F16" s="72"/>
      <c r="G16" s="72"/>
      <c r="H16" s="105">
        <v>1</v>
      </c>
      <c r="I16" s="209">
        <f>H16*E16</f>
        <v>60000</v>
      </c>
    </row>
    <row r="17" spans="1:9" ht="12.95" customHeight="1" x14ac:dyDescent="0.2">
      <c r="A17" s="358">
        <v>5</v>
      </c>
      <c r="B17" s="87" t="s">
        <v>9</v>
      </c>
      <c r="C17" s="257" t="s">
        <v>144</v>
      </c>
      <c r="D17" s="264"/>
      <c r="E17" s="150">
        <f>_5.02</f>
        <v>40000</v>
      </c>
      <c r="F17" s="72"/>
      <c r="G17" s="72"/>
      <c r="H17" s="105">
        <v>0.6</v>
      </c>
      <c r="I17" s="209">
        <f>H17*E17</f>
        <v>24000</v>
      </c>
    </row>
    <row r="18" spans="1:9" ht="12.95" customHeight="1" x14ac:dyDescent="0.2">
      <c r="A18" s="557">
        <v>5</v>
      </c>
      <c r="B18" s="87" t="s">
        <v>11</v>
      </c>
      <c r="C18" s="84" t="s">
        <v>27</v>
      </c>
      <c r="D18" s="141"/>
      <c r="E18" s="637">
        <v>0</v>
      </c>
      <c r="F18" s="72"/>
      <c r="G18" s="72"/>
      <c r="H18" s="105">
        <v>0</v>
      </c>
      <c r="I18" s="209">
        <f>E18*H18</f>
        <v>0</v>
      </c>
    </row>
    <row r="19" spans="1:9" ht="3.95" customHeight="1" x14ac:dyDescent="0.2">
      <c r="D19" s="139"/>
      <c r="E19" s="126"/>
      <c r="H19" s="88"/>
      <c r="I19" s="126"/>
    </row>
    <row r="20" spans="1:9" s="10" customFormat="1" ht="12.95" customHeight="1" x14ac:dyDescent="0.2">
      <c r="A20" s="645">
        <v>6</v>
      </c>
      <c r="B20" s="645"/>
      <c r="C20" s="76" t="s">
        <v>28</v>
      </c>
      <c r="D20" s="138">
        <f>E20/$E$28</f>
        <v>1.6E-2</v>
      </c>
      <c r="E20" s="153">
        <f>_6</f>
        <v>65000</v>
      </c>
      <c r="F20" s="72"/>
      <c r="G20" s="72"/>
      <c r="H20" s="105">
        <v>0</v>
      </c>
      <c r="I20" s="153">
        <f>E20*H20</f>
        <v>0</v>
      </c>
    </row>
    <row r="21" spans="1:9" ht="3.95" customHeight="1" x14ac:dyDescent="0.2">
      <c r="B21" s="13"/>
      <c r="D21" s="142"/>
      <c r="E21" s="126"/>
      <c r="H21" s="88"/>
      <c r="I21" s="126"/>
    </row>
    <row r="22" spans="1:9" s="11" customFormat="1" ht="12.95" customHeight="1" x14ac:dyDescent="0.2">
      <c r="A22" s="645">
        <v>7</v>
      </c>
      <c r="B22" s="645"/>
      <c r="C22" s="76" t="s">
        <v>145</v>
      </c>
      <c r="D22" s="138">
        <f>E22/$E$28</f>
        <v>0.185</v>
      </c>
      <c r="E22" s="153">
        <f>_7</f>
        <v>750000</v>
      </c>
      <c r="F22" s="72"/>
      <c r="G22" s="72"/>
      <c r="H22" s="105">
        <v>0</v>
      </c>
      <c r="I22" s="153">
        <f>E22*H22</f>
        <v>0</v>
      </c>
    </row>
    <row r="23" spans="1:9" ht="3.95" customHeight="1" x14ac:dyDescent="0.2">
      <c r="D23" s="142"/>
      <c r="E23" s="126"/>
      <c r="H23" s="88"/>
      <c r="I23" s="126"/>
    </row>
    <row r="24" spans="1:9" s="11" customFormat="1" ht="12.95" customHeight="1" x14ac:dyDescent="0.2">
      <c r="A24" s="645">
        <v>8</v>
      </c>
      <c r="B24" s="645"/>
      <c r="C24" s="76" t="s">
        <v>30</v>
      </c>
      <c r="D24" s="138">
        <f>E24/$E$28</f>
        <v>1E-3</v>
      </c>
      <c r="E24" s="153">
        <f>_8</f>
        <v>3600</v>
      </c>
      <c r="F24" s="72"/>
      <c r="G24" s="72"/>
      <c r="H24" s="105">
        <v>0</v>
      </c>
      <c r="I24" s="153">
        <f>E24*H24</f>
        <v>0</v>
      </c>
    </row>
    <row r="25" spans="1:9" ht="3.95" customHeight="1" x14ac:dyDescent="0.2">
      <c r="D25" s="142"/>
      <c r="E25" s="126"/>
      <c r="H25" s="106"/>
      <c r="I25" s="126"/>
    </row>
    <row r="26" spans="1:9" s="11" customFormat="1" ht="12.95" customHeight="1" x14ac:dyDescent="0.2">
      <c r="A26" s="645">
        <v>9</v>
      </c>
      <c r="B26" s="645"/>
      <c r="C26" s="76" t="s">
        <v>31</v>
      </c>
      <c r="D26" s="138">
        <f>E26/$E$28</f>
        <v>5.5E-2</v>
      </c>
      <c r="E26" s="153">
        <f>_9</f>
        <v>225000</v>
      </c>
      <c r="F26" s="72"/>
      <c r="G26" s="72"/>
      <c r="H26" s="105">
        <v>0.03</v>
      </c>
      <c r="I26" s="153">
        <f>E26*H26</f>
        <v>6750</v>
      </c>
    </row>
    <row r="27" spans="1:9" ht="3.95" customHeight="1" x14ac:dyDescent="0.2">
      <c r="B27" s="13"/>
      <c r="D27" s="32"/>
      <c r="H27" s="1"/>
      <c r="I27" s="1"/>
    </row>
    <row r="28" spans="1:9" ht="12.95" customHeight="1" x14ac:dyDescent="0.25">
      <c r="A28" s="113" t="s">
        <v>56</v>
      </c>
      <c r="B28" s="114"/>
      <c r="C28" s="114"/>
      <c r="D28" s="71">
        <f>SUM(D7:D26)</f>
        <v>1</v>
      </c>
      <c r="E28" s="90">
        <f>SUBTOTAL(9,E7:E26)</f>
        <v>4058600</v>
      </c>
      <c r="F28" s="64"/>
      <c r="G28" s="64"/>
      <c r="H28" s="182"/>
      <c r="I28" s="22"/>
    </row>
    <row r="29" spans="1:9" ht="3.95" customHeight="1" x14ac:dyDescent="0.25">
      <c r="B29" s="265"/>
    </row>
    <row r="30" spans="1:9" s="10" customFormat="1" ht="12.95" customHeight="1" x14ac:dyDescent="0.2">
      <c r="A30" s="302"/>
      <c r="B30" s="75" t="s">
        <v>57</v>
      </c>
      <c r="C30" s="76"/>
      <c r="D30" s="212"/>
      <c r="E30" s="153">
        <f>_mvB</f>
        <v>120000</v>
      </c>
      <c r="F30" s="72"/>
      <c r="G30" s="72"/>
      <c r="H30" s="105">
        <v>1</v>
      </c>
      <c r="I30" s="153">
        <f>E30*H30</f>
        <v>120000</v>
      </c>
    </row>
    <row r="31" spans="1:9" ht="3.95" customHeight="1" x14ac:dyDescent="0.2">
      <c r="E31" s="32"/>
    </row>
    <row r="32" spans="1:9" s="14" customFormat="1" ht="12.95" customHeight="1" x14ac:dyDescent="0.3">
      <c r="A32" s="198" t="s">
        <v>58</v>
      </c>
      <c r="B32" s="199"/>
      <c r="C32" s="199"/>
      <c r="D32" s="205"/>
      <c r="E32" s="205"/>
      <c r="F32" s="205"/>
      <c r="G32" s="205"/>
      <c r="H32" s="206"/>
      <c r="I32" s="207">
        <f>SUM(I7:I30)</f>
        <v>210750</v>
      </c>
    </row>
    <row r="33" spans="1:9" s="16" customFormat="1" ht="3.95" customHeight="1" x14ac:dyDescent="0.25">
      <c r="B33" s="17"/>
      <c r="H33" s="160"/>
      <c r="I33" s="160"/>
    </row>
    <row r="34" spans="1:9" ht="9" customHeight="1" x14ac:dyDescent="0.2">
      <c r="B34" s="15"/>
      <c r="I34" s="266"/>
    </row>
    <row r="35" spans="1:9" ht="3.95" customHeight="1" x14ac:dyDescent="0.2">
      <c r="A35" s="163"/>
      <c r="B35" s="163"/>
      <c r="C35" s="163"/>
      <c r="D35" s="163"/>
      <c r="E35" s="163"/>
      <c r="F35" s="163"/>
      <c r="G35" s="163"/>
      <c r="I35" s="183"/>
    </row>
    <row r="36" spans="1:9" ht="12.75" customHeight="1" x14ac:dyDescent="0.2">
      <c r="A36" s="161" t="s">
        <v>146</v>
      </c>
      <c r="B36" s="161"/>
      <c r="C36" s="162"/>
      <c r="D36" s="162"/>
      <c r="E36" s="162"/>
      <c r="F36" s="162"/>
      <c r="G36" s="162"/>
      <c r="H36" s="161"/>
      <c r="I36" s="267"/>
    </row>
    <row r="37" spans="1:9" ht="3.95" customHeight="1" x14ac:dyDescent="0.2">
      <c r="A37" s="163"/>
      <c r="B37" s="163"/>
      <c r="C37" s="163"/>
      <c r="D37" s="163"/>
      <c r="E37" s="163"/>
      <c r="F37" s="163"/>
      <c r="G37" s="163"/>
      <c r="I37" s="183"/>
    </row>
    <row r="38" spans="1:9" ht="12.75" customHeight="1" x14ac:dyDescent="0.2">
      <c r="A38" s="164" t="s">
        <v>106</v>
      </c>
      <c r="B38" s="163"/>
      <c r="C38" s="163"/>
      <c r="D38" s="163"/>
      <c r="E38" s="163"/>
      <c r="F38" s="163"/>
      <c r="G38" s="163"/>
      <c r="I38" s="183"/>
    </row>
    <row r="39" spans="1:9" ht="12.75" customHeight="1" x14ac:dyDescent="0.2">
      <c r="A39" s="18"/>
      <c r="B39" s="18"/>
      <c r="E39" s="165" t="s">
        <v>60</v>
      </c>
      <c r="F39" s="166" t="s">
        <v>61</v>
      </c>
      <c r="H39" s="647" t="s">
        <v>107</v>
      </c>
      <c r="I39" s="647"/>
    </row>
    <row r="40" spans="1:9" ht="12.75" customHeight="1" x14ac:dyDescent="0.2">
      <c r="B40" s="19" t="s">
        <v>63</v>
      </c>
      <c r="C40" s="35"/>
      <c r="D40" s="35"/>
      <c r="E40" s="118">
        <v>9</v>
      </c>
      <c r="F40" s="167" t="s">
        <v>147</v>
      </c>
      <c r="H40" s="492"/>
      <c r="I40" s="493"/>
    </row>
    <row r="41" spans="1:9" ht="12.75" customHeight="1" x14ac:dyDescent="0.2">
      <c r="B41" s="20" t="s">
        <v>65</v>
      </c>
      <c r="C41" s="36"/>
      <c r="D41" s="36"/>
      <c r="E41" s="119">
        <v>2</v>
      </c>
      <c r="F41" s="168" t="s">
        <v>148</v>
      </c>
      <c r="H41" s="494"/>
      <c r="I41" s="495"/>
    </row>
    <row r="42" spans="1:9" ht="12.75" customHeight="1" x14ac:dyDescent="0.2">
      <c r="B42" s="20" t="s">
        <v>67</v>
      </c>
      <c r="C42" s="36"/>
      <c r="D42" s="36"/>
      <c r="E42" s="119">
        <v>1</v>
      </c>
      <c r="F42" s="168" t="s">
        <v>148</v>
      </c>
      <c r="H42" s="494"/>
      <c r="I42" s="495"/>
    </row>
    <row r="43" spans="1:9" ht="12.75" customHeight="1" x14ac:dyDescent="0.2">
      <c r="B43" s="20" t="s">
        <v>68</v>
      </c>
      <c r="C43" s="36"/>
      <c r="D43" s="36"/>
      <c r="E43" s="119">
        <v>2</v>
      </c>
      <c r="F43" s="168" t="s">
        <v>148</v>
      </c>
      <c r="H43" s="496"/>
      <c r="I43" s="497"/>
    </row>
    <row r="44" spans="1:9" ht="3.95" customHeight="1" x14ac:dyDescent="0.2">
      <c r="A44" s="18"/>
      <c r="B44" s="18"/>
      <c r="E44" s="169"/>
      <c r="F44" s="169"/>
      <c r="I44" s="245"/>
    </row>
    <row r="45" spans="1:9" ht="12.75" customHeight="1" x14ac:dyDescent="0.2">
      <c r="B45" s="18" t="s">
        <v>75</v>
      </c>
      <c r="C45" s="170"/>
      <c r="D45" s="171"/>
      <c r="E45" s="172">
        <f>SUM(E40:E44)</f>
        <v>14</v>
      </c>
      <c r="F45" s="171"/>
      <c r="I45" s="245"/>
    </row>
    <row r="46" spans="1:9" ht="12.95" customHeight="1" x14ac:dyDescent="0.2">
      <c r="B46" s="18"/>
      <c r="C46" s="171"/>
      <c r="D46" s="171"/>
      <c r="E46" s="171"/>
      <c r="F46" s="171"/>
      <c r="G46" s="171"/>
      <c r="I46" s="245"/>
    </row>
    <row r="47" spans="1:9" ht="12.95" customHeight="1" x14ac:dyDescent="0.2">
      <c r="A47" s="164" t="s">
        <v>76</v>
      </c>
      <c r="B47" s="164"/>
      <c r="C47" s="163"/>
      <c r="D47" s="163"/>
      <c r="E47" s="163"/>
      <c r="F47" s="163"/>
      <c r="G47" s="163"/>
      <c r="H47" s="268"/>
      <c r="I47" s="1"/>
    </row>
    <row r="48" spans="1:9" ht="3.95" customHeight="1" x14ac:dyDescent="0.2">
      <c r="A48" s="164"/>
      <c r="B48" s="164"/>
      <c r="C48" s="164"/>
      <c r="I48" s="1"/>
    </row>
    <row r="49" spans="1:9" ht="12.75" customHeight="1" x14ac:dyDescent="0.2">
      <c r="A49" s="173" t="s">
        <v>77</v>
      </c>
      <c r="B49" s="173"/>
      <c r="E49" s="200">
        <f>I32</f>
        <v>210750</v>
      </c>
      <c r="H49" s="654" t="str">
        <f>IF(E49&lt;100000,"! gemäß ED.9 (3): Wenn die Bemessungsgrundlage niedriger ist als 100.000 €, sollte der Ermittlungsweg über Abschätzung des Büro- / Personalaufwandes gewählt werden","")</f>
        <v/>
      </c>
      <c r="I49" s="654"/>
    </row>
    <row r="50" spans="1:9" ht="3.95" customHeight="1" x14ac:dyDescent="0.2">
      <c r="A50" s="18"/>
      <c r="B50" s="18"/>
      <c r="C50" s="18"/>
      <c r="D50" s="18"/>
      <c r="E50" s="18"/>
      <c r="F50" s="170"/>
      <c r="H50" s="654"/>
      <c r="I50" s="654"/>
    </row>
    <row r="51" spans="1:9" ht="12.75" customHeight="1" x14ac:dyDescent="0.2">
      <c r="A51" s="655" t="s">
        <v>247</v>
      </c>
      <c r="B51" s="655"/>
      <c r="C51" s="655"/>
      <c r="D51" s="655"/>
      <c r="E51" s="1" t="s">
        <v>149</v>
      </c>
      <c r="F51" s="111"/>
      <c r="H51" s="654"/>
      <c r="I51" s="654"/>
    </row>
    <row r="52" spans="1:9" ht="12.95" customHeight="1" x14ac:dyDescent="0.2">
      <c r="A52" s="18"/>
      <c r="B52" s="18"/>
      <c r="C52" s="18"/>
      <c r="D52" s="18"/>
      <c r="E52" s="18"/>
      <c r="F52" s="170"/>
      <c r="H52" s="654"/>
      <c r="I52" s="654"/>
    </row>
    <row r="53" spans="1:9" ht="13.5" customHeight="1" x14ac:dyDescent="0.2">
      <c r="A53" s="498" t="str">
        <f>IF(A51="in Zusammenhang mit baulichen Planungsleistungen","Faktor aus Bewertungspunkten [fbw = 0,025 x bw +0,65]","Faktor aus Bewertungspunkten [fbw = 0,025 x bw +0,675]")</f>
        <v>Faktor aus Bewertungspunkten [fbw = 0,025 x bw +0,675]</v>
      </c>
      <c r="B53" s="23"/>
      <c r="C53" s="23"/>
      <c r="D53" s="23"/>
      <c r="E53" s="353">
        <f>IF(A51="in Zusammenhang mit baulichen Planungsleistungen",0.025*E45+0.65,0.025*E45+0.675)</f>
        <v>1.03</v>
      </c>
      <c r="F53" s="122"/>
      <c r="H53" s="654"/>
      <c r="I53" s="654"/>
    </row>
    <row r="54" spans="1:9" ht="3.95" customHeight="1" x14ac:dyDescent="0.2">
      <c r="B54" s="1"/>
      <c r="E54" s="28"/>
      <c r="F54" s="122"/>
      <c r="H54" s="654"/>
      <c r="I54" s="654"/>
    </row>
    <row r="55" spans="1:9" ht="13.5" customHeight="1" x14ac:dyDescent="0.2">
      <c r="A55" s="33" t="str">
        <f>IF(A51="in Zusammenhang mit baulichen Planungsleistungen (OA)","%-Satz für ED [h1ED = 60,0 x (BMGL)^(-0,1045) x fbw]","%-Satz für ED [h2ED = 72,8 x (BMGL)^(-0,1041) x fbw]")</f>
        <v>%-Satz für ED [h1ED = 60,0 x (BMGL)^(-0,1045) x fbw]</v>
      </c>
      <c r="B55" s="1"/>
      <c r="E55" s="335">
        <f>ROUND(IF(A51="in Zusammenhang mit baulichen Planungsleistungen (OA)",(60*E49^(-0.1045)*E53)/100,(72.8*E49^(-0.1041)*E53)/100),6)</f>
        <v>0.171654</v>
      </c>
      <c r="F55" s="208" t="s">
        <v>80</v>
      </c>
      <c r="H55" s="654"/>
      <c r="I55" s="654"/>
    </row>
    <row r="56" spans="1:9" ht="13.5" customHeight="1" x14ac:dyDescent="0.2">
      <c r="A56" s="33" t="s">
        <v>150</v>
      </c>
      <c r="B56" s="1"/>
      <c r="E56" s="224">
        <v>0</v>
      </c>
      <c r="F56" s="208"/>
      <c r="H56" s="654"/>
      <c r="I56" s="654"/>
    </row>
    <row r="57" spans="1:9" ht="3.95" customHeight="1" x14ac:dyDescent="0.2">
      <c r="A57" s="18"/>
      <c r="B57" s="18"/>
      <c r="E57" s="174"/>
      <c r="F57" s="174"/>
      <c r="H57" s="654"/>
      <c r="I57" s="654"/>
    </row>
    <row r="58" spans="1:9" ht="15" customHeight="1" x14ac:dyDescent="0.3">
      <c r="A58" s="21" t="s">
        <v>151</v>
      </c>
      <c r="B58" s="19"/>
      <c r="C58" s="175"/>
      <c r="D58" s="175"/>
      <c r="E58" s="176"/>
      <c r="F58" s="336">
        <f>ROUND(E49*E55*(1+E56),2)</f>
        <v>36176</v>
      </c>
      <c r="I58" s="1"/>
    </row>
    <row r="59" spans="1:9" ht="15" customHeight="1" x14ac:dyDescent="0.2">
      <c r="A59" s="23"/>
      <c r="B59" s="18"/>
      <c r="C59" s="163"/>
      <c r="D59" s="163"/>
      <c r="E59" s="163"/>
      <c r="F59" s="177"/>
      <c r="G59" s="177"/>
      <c r="I59" s="1"/>
    </row>
    <row r="60" spans="1:9" ht="12.95" customHeight="1" x14ac:dyDescent="0.2">
      <c r="A60" s="23"/>
      <c r="B60" s="18"/>
      <c r="C60" s="163"/>
      <c r="D60" s="337" t="s">
        <v>84</v>
      </c>
      <c r="E60" s="338" t="s">
        <v>60</v>
      </c>
      <c r="F60" s="177"/>
      <c r="I60" s="29"/>
    </row>
    <row r="61" spans="1:9" ht="12.75" customHeight="1" x14ac:dyDescent="0.25">
      <c r="A61" s="163" t="s">
        <v>139</v>
      </c>
      <c r="B61" s="163"/>
      <c r="D61" s="339">
        <v>0.02</v>
      </c>
      <c r="E61" s="224">
        <v>0.02</v>
      </c>
      <c r="F61" s="183">
        <f t="shared" ref="F61:F70" si="0">$F$58*E61</f>
        <v>724</v>
      </c>
      <c r="I61"/>
    </row>
    <row r="62" spans="1:9" ht="12.75" customHeight="1" x14ac:dyDescent="0.25">
      <c r="A62" s="163" t="s">
        <v>86</v>
      </c>
      <c r="B62" s="163"/>
      <c r="D62" s="339">
        <v>0.09</v>
      </c>
      <c r="E62" s="225">
        <v>0.09</v>
      </c>
      <c r="F62" s="183">
        <f t="shared" si="0"/>
        <v>3256</v>
      </c>
      <c r="I62"/>
    </row>
    <row r="63" spans="1:9" ht="12.75" customHeight="1" x14ac:dyDescent="0.25">
      <c r="A63" s="163" t="s">
        <v>87</v>
      </c>
      <c r="B63" s="163"/>
      <c r="D63" s="339">
        <v>0.13</v>
      </c>
      <c r="E63" s="225">
        <v>0.13</v>
      </c>
      <c r="F63" s="183">
        <f t="shared" si="0"/>
        <v>4703</v>
      </c>
      <c r="I63"/>
    </row>
    <row r="64" spans="1:9" ht="12.75" customHeight="1" x14ac:dyDescent="0.25">
      <c r="A64" s="163" t="s">
        <v>88</v>
      </c>
      <c r="B64" s="163"/>
      <c r="D64" s="339">
        <v>0</v>
      </c>
      <c r="E64" s="225">
        <v>0</v>
      </c>
      <c r="F64" s="183">
        <f t="shared" si="0"/>
        <v>0</v>
      </c>
      <c r="I64"/>
    </row>
    <row r="65" spans="1:9" ht="12.75" customHeight="1" x14ac:dyDescent="0.25">
      <c r="A65" s="163" t="s">
        <v>89</v>
      </c>
      <c r="B65" s="163"/>
      <c r="D65" s="339">
        <v>0.28999999999999998</v>
      </c>
      <c r="E65" s="225">
        <v>0.28999999999999998</v>
      </c>
      <c r="F65" s="183">
        <f t="shared" si="0"/>
        <v>10491</v>
      </c>
      <c r="I65"/>
    </row>
    <row r="66" spans="1:9" ht="12.75" customHeight="1" x14ac:dyDescent="0.25">
      <c r="A66" s="163" t="s">
        <v>90</v>
      </c>
      <c r="B66" s="163"/>
      <c r="D66" s="339">
        <v>0.09</v>
      </c>
      <c r="E66" s="225">
        <v>0.09</v>
      </c>
      <c r="F66" s="183">
        <f t="shared" si="0"/>
        <v>3256</v>
      </c>
      <c r="I66"/>
    </row>
    <row r="67" spans="1:9" ht="12.75" customHeight="1" x14ac:dyDescent="0.25">
      <c r="A67" s="163" t="s">
        <v>91</v>
      </c>
      <c r="B67" s="163"/>
      <c r="D67" s="339">
        <v>0.04</v>
      </c>
      <c r="E67" s="225">
        <v>0.04</v>
      </c>
      <c r="F67" s="183">
        <f t="shared" si="0"/>
        <v>1447</v>
      </c>
      <c r="I67"/>
    </row>
    <row r="68" spans="1:9" ht="12.75" customHeight="1" x14ac:dyDescent="0.25">
      <c r="A68" s="163" t="s">
        <v>113</v>
      </c>
      <c r="B68" s="163"/>
      <c r="D68" s="339">
        <v>0.04</v>
      </c>
      <c r="E68" s="225">
        <v>0.04</v>
      </c>
      <c r="F68" s="183">
        <f t="shared" si="0"/>
        <v>1447</v>
      </c>
      <c r="I68"/>
    </row>
    <row r="69" spans="1:9" ht="12.75" customHeight="1" x14ac:dyDescent="0.25">
      <c r="A69" s="163" t="s">
        <v>93</v>
      </c>
      <c r="B69" s="163"/>
      <c r="D69" s="339">
        <v>0.3</v>
      </c>
      <c r="E69" s="363">
        <v>0.3</v>
      </c>
      <c r="F69" s="183">
        <f t="shared" si="0"/>
        <v>10853</v>
      </c>
      <c r="I69"/>
    </row>
    <row r="70" spans="1:9" ht="12.75" customHeight="1" x14ac:dyDescent="0.25">
      <c r="A70" s="175" t="s">
        <v>115</v>
      </c>
      <c r="B70" s="175"/>
      <c r="C70" s="35"/>
      <c r="D70" s="340">
        <v>0</v>
      </c>
      <c r="E70" s="226">
        <v>0</v>
      </c>
      <c r="F70" s="184">
        <f t="shared" si="0"/>
        <v>0</v>
      </c>
      <c r="G70" s="35"/>
      <c r="H70" s="45"/>
      <c r="I70" s="558"/>
    </row>
    <row r="71" spans="1:9" s="16" customFormat="1" ht="18.600000000000001" customHeight="1" x14ac:dyDescent="0.25">
      <c r="A71" s="381" t="s">
        <v>116</v>
      </c>
      <c r="B71" s="382"/>
      <c r="D71" s="627">
        <f>SUM(D61:D70)</f>
        <v>1</v>
      </c>
      <c r="E71" s="383">
        <f>SUM(E61:E70)</f>
        <v>1</v>
      </c>
      <c r="F71" s="372">
        <f>SUM(F61:F70)</f>
        <v>36177</v>
      </c>
      <c r="H71" s="499"/>
      <c r="I71" s="31"/>
    </row>
    <row r="72" spans="1:9" ht="12.75" customHeight="1" x14ac:dyDescent="0.25">
      <c r="A72" s="253" t="s">
        <v>152</v>
      </c>
      <c r="B72" s="163"/>
      <c r="D72" s="339">
        <v>0.02</v>
      </c>
      <c r="E72" s="343">
        <v>0</v>
      </c>
      <c r="F72" s="183">
        <f>$F$58*E72</f>
        <v>0</v>
      </c>
      <c r="I72"/>
    </row>
    <row r="73" spans="1:9" ht="12.75" customHeight="1" x14ac:dyDescent="0.25">
      <c r="A73" s="253" t="s">
        <v>236</v>
      </c>
      <c r="B73" s="163"/>
      <c r="D73" s="339">
        <v>0.03</v>
      </c>
      <c r="E73" s="363">
        <v>0</v>
      </c>
      <c r="F73" s="183">
        <f>$F$58*E73</f>
        <v>0</v>
      </c>
      <c r="I73"/>
    </row>
    <row r="74" spans="1:9" ht="12.75" customHeight="1" x14ac:dyDescent="0.25">
      <c r="A74" s="640" t="s">
        <v>258</v>
      </c>
      <c r="B74" s="175"/>
      <c r="C74" s="35"/>
      <c r="D74" s="340">
        <v>0.02</v>
      </c>
      <c r="E74" s="226">
        <v>0</v>
      </c>
      <c r="F74" s="184">
        <f>$F$58*E74</f>
        <v>0</v>
      </c>
      <c r="G74" s="35"/>
      <c r="H74" s="45"/>
      <c r="I74" s="558"/>
    </row>
    <row r="75" spans="1:9" ht="13.5" customHeight="1" x14ac:dyDescent="0.3">
      <c r="A75" s="500" t="s">
        <v>251</v>
      </c>
      <c r="B75" s="341"/>
      <c r="D75" s="629">
        <f>SUM(D71:D74)</f>
        <v>1.07</v>
      </c>
      <c r="E75" s="501">
        <f>E71+SUM(E72:E74)</f>
        <v>1</v>
      </c>
      <c r="F75" s="342">
        <f>F71+SUM(F72:F74)</f>
        <v>36177</v>
      </c>
      <c r="I75" s="99">
        <f>F75</f>
        <v>36177</v>
      </c>
    </row>
    <row r="76" spans="1:9" ht="12.75" customHeight="1" x14ac:dyDescent="0.25">
      <c r="E76" s="108"/>
      <c r="I76"/>
    </row>
    <row r="77" spans="1:9" ht="12.75" customHeight="1" x14ac:dyDescent="0.2">
      <c r="A77" s="33" t="s">
        <v>98</v>
      </c>
      <c r="E77" s="230">
        <v>0</v>
      </c>
      <c r="F77" s="231">
        <v>0</v>
      </c>
      <c r="I77" s="92">
        <f>E77*F77</f>
        <v>0</v>
      </c>
    </row>
    <row r="78" spans="1:9" ht="12.75" customHeight="1" x14ac:dyDescent="0.25">
      <c r="F78" s="108"/>
      <c r="I78"/>
    </row>
    <row r="79" spans="1:9" s="23" customFormat="1" ht="12.75" x14ac:dyDescent="0.2">
      <c r="A79" s="94" t="s">
        <v>153</v>
      </c>
      <c r="B79" s="95"/>
      <c r="C79" s="96"/>
      <c r="D79" s="97"/>
      <c r="E79" s="98"/>
      <c r="F79" s="109"/>
      <c r="G79" s="97"/>
      <c r="H79" s="97"/>
      <c r="I79" s="99">
        <f>I75+I77</f>
        <v>36177</v>
      </c>
    </row>
    <row r="80" spans="1:9" s="23" customFormat="1" ht="4.5" customHeight="1" x14ac:dyDescent="0.2">
      <c r="B80" s="24"/>
      <c r="C80" s="25"/>
      <c r="D80" s="46"/>
      <c r="E80" s="47"/>
      <c r="F80" s="48"/>
      <c r="G80" s="48"/>
      <c r="I80" s="91"/>
    </row>
    <row r="81" spans="1:9" s="23" customFormat="1" ht="12.75" x14ac:dyDescent="0.2">
      <c r="A81" s="49" t="s">
        <v>40</v>
      </c>
      <c r="B81" s="24"/>
      <c r="C81" s="25"/>
      <c r="D81" s="47"/>
      <c r="E81" s="47"/>
      <c r="F81" s="220">
        <v>0.04</v>
      </c>
      <c r="G81" s="48"/>
      <c r="I81" s="92">
        <f>ROUND(I79*F81,2)</f>
        <v>1447</v>
      </c>
    </row>
    <row r="82" spans="1:9" s="23" customFormat="1" ht="3" customHeight="1" x14ac:dyDescent="0.2">
      <c r="A82" s="50"/>
      <c r="B82" s="51"/>
      <c r="C82" s="52"/>
      <c r="D82" s="56"/>
      <c r="E82" s="56"/>
      <c r="F82" s="221"/>
      <c r="G82" s="57"/>
      <c r="H82" s="50"/>
      <c r="I82" s="93"/>
    </row>
    <row r="83" spans="1:9" s="23" customFormat="1" ht="3" customHeight="1" x14ac:dyDescent="0.2">
      <c r="B83" s="24"/>
      <c r="C83" s="25"/>
      <c r="D83" s="26"/>
      <c r="E83" s="26"/>
      <c r="F83" s="219"/>
      <c r="G83" s="48"/>
      <c r="I83" s="91"/>
    </row>
    <row r="84" spans="1:9" s="23" customFormat="1" ht="12.75" x14ac:dyDescent="0.2">
      <c r="A84" s="53" t="s">
        <v>154</v>
      </c>
      <c r="B84" s="54"/>
      <c r="C84" s="55"/>
      <c r="D84" s="26"/>
      <c r="E84" s="26"/>
      <c r="F84" s="219"/>
      <c r="G84" s="48"/>
      <c r="I84" s="92">
        <f>I79+I81</f>
        <v>37624</v>
      </c>
    </row>
    <row r="85" spans="1:9" s="23" customFormat="1" ht="12.75" x14ac:dyDescent="0.2">
      <c r="A85" s="23" t="s">
        <v>48</v>
      </c>
      <c r="B85" s="24"/>
      <c r="C85" s="25"/>
      <c r="D85" s="26"/>
      <c r="E85" s="26"/>
      <c r="F85" s="27">
        <v>0.2</v>
      </c>
      <c r="G85" s="27"/>
      <c r="I85" s="92">
        <f>ROUND(I84*F85,2)</f>
        <v>7525</v>
      </c>
    </row>
    <row r="86" spans="1:9" s="23" customFormat="1" ht="3" customHeight="1" x14ac:dyDescent="0.2">
      <c r="B86" s="24"/>
      <c r="C86" s="25"/>
      <c r="D86" s="26"/>
      <c r="E86" s="26"/>
      <c r="F86" s="48"/>
      <c r="G86" s="48"/>
      <c r="I86" s="91"/>
    </row>
    <row r="87" spans="1:9" s="23" customFormat="1" ht="12.75" x14ac:dyDescent="0.2">
      <c r="A87" s="191" t="s">
        <v>155</v>
      </c>
      <c r="B87" s="201"/>
      <c r="C87" s="192"/>
      <c r="D87" s="193"/>
      <c r="E87" s="194"/>
      <c r="F87" s="195"/>
      <c r="G87" s="195"/>
      <c r="H87" s="193"/>
      <c r="I87" s="196">
        <f>SUM(I84:I85)</f>
        <v>45149</v>
      </c>
    </row>
    <row r="88" spans="1:9" ht="5.0999999999999996" customHeight="1" x14ac:dyDescent="0.2"/>
    <row r="89" spans="1:9" ht="12.75" x14ac:dyDescent="0.2">
      <c r="A89" s="203" t="s">
        <v>120</v>
      </c>
      <c r="F89" s="270">
        <f>I84/E28</f>
        <v>9.2700000000000005E-3</v>
      </c>
    </row>
    <row r="91" spans="1:9" x14ac:dyDescent="0.2">
      <c r="A91" s="1" t="s">
        <v>156</v>
      </c>
      <c r="B91" s="37" t="s">
        <v>157</v>
      </c>
    </row>
    <row r="92" spans="1:9" x14ac:dyDescent="0.2">
      <c r="B92" s="37" t="s">
        <v>158</v>
      </c>
    </row>
    <row r="93" spans="1:9" x14ac:dyDescent="0.2">
      <c r="B93" s="37" t="s">
        <v>159</v>
      </c>
    </row>
    <row r="95" spans="1:9" ht="12.75" x14ac:dyDescent="0.2">
      <c r="A95" s="120" t="s">
        <v>247</v>
      </c>
    </row>
    <row r="96" spans="1:9" ht="12.75" x14ac:dyDescent="0.2">
      <c r="A96" s="120" t="s">
        <v>160</v>
      </c>
    </row>
  </sheetData>
  <sheetProtection algorithmName="SHA-512" hashValue="fzOUpYjz54Q6kFKgNpZNjwSqTy9C79VR3ix+7QfkqHi6QaKzWMdZaggbNLe0bLB56R+4+FEt0yIB5Lp8JWkhjw==" saltValue="6LJ0uQrM6La9wKmCL57IvA==" spinCount="100000" sheet="1" objects="1" scenarios="1"/>
  <mergeCells count="13">
    <mergeCell ref="A26:B26"/>
    <mergeCell ref="A20:B20"/>
    <mergeCell ref="A22:B22"/>
    <mergeCell ref="A24:B24"/>
    <mergeCell ref="H49:I57"/>
    <mergeCell ref="A51:D51"/>
    <mergeCell ref="H39:I39"/>
    <mergeCell ref="H2:I2"/>
    <mergeCell ref="A15:B15"/>
    <mergeCell ref="A7:B7"/>
    <mergeCell ref="A9:B9"/>
    <mergeCell ref="A11:B11"/>
    <mergeCell ref="A13:B13"/>
  </mergeCells>
  <dataValidations count="1">
    <dataValidation type="list" allowBlank="1" showInputMessage="1" showErrorMessage="1" sqref="A51" xr:uid="{551EFCBF-E634-4544-9689-81CDA749F26A}">
      <formula1>$A$95:$A$96</formula1>
    </dataValidation>
  </dataValidations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9" r:id="rId4" name="Scroll Bar 5">
              <controlPr locked="0" defaultSize="0" autoPict="0">
                <anchor moveWithCells="1">
                  <from>
                    <xdr:col>7</xdr:col>
                    <xdr:colOff>28575</xdr:colOff>
                    <xdr:row>39</xdr:row>
                    <xdr:rowOff>19050</xdr:rowOff>
                  </from>
                  <to>
                    <xdr:col>8</xdr:col>
                    <xdr:colOff>1028700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5" name="Scroll Bar 6">
              <controlPr defaultSize="0" autoPict="0">
                <anchor moveWithCells="1">
                  <from>
                    <xdr:col>7</xdr:col>
                    <xdr:colOff>28575</xdr:colOff>
                    <xdr:row>40</xdr:row>
                    <xdr:rowOff>19050</xdr:rowOff>
                  </from>
                  <to>
                    <xdr:col>8</xdr:col>
                    <xdr:colOff>1028700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6" name="Scroll Bar 7">
              <controlPr defaultSize="0" autoPict="0">
                <anchor moveWithCells="1">
                  <from>
                    <xdr:col>7</xdr:col>
                    <xdr:colOff>28575</xdr:colOff>
                    <xdr:row>41</xdr:row>
                    <xdr:rowOff>19050</xdr:rowOff>
                  </from>
                  <to>
                    <xdr:col>8</xdr:col>
                    <xdr:colOff>1028700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7" name="Scroll Bar 8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1028700</xdr:colOff>
                    <xdr:row>42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3B21-296F-4A01-9E24-2F8D6F831C5C}">
  <sheetPr>
    <tabColor theme="6"/>
  </sheetPr>
  <dimension ref="A1:M87"/>
  <sheetViews>
    <sheetView showGridLines="0" topLeftCell="A24" zoomScaleNormal="100" zoomScaleSheetLayoutView="85" zoomScalePageLayoutView="175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 x14ac:dyDescent="0.2"/>
    <row r="2" spans="1:10" s="37" customFormat="1" ht="35.1" customHeight="1" x14ac:dyDescent="0.2">
      <c r="A2" s="107" t="s">
        <v>51</v>
      </c>
      <c r="E2" s="38"/>
      <c r="F2" s="38"/>
      <c r="G2" s="38"/>
      <c r="H2" s="644" t="s">
        <v>161</v>
      </c>
      <c r="I2" s="644"/>
      <c r="J2" s="43"/>
    </row>
    <row r="3" spans="1:10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 x14ac:dyDescent="0.25">
      <c r="I4" s="2"/>
      <c r="J4" s="2"/>
    </row>
    <row r="5" spans="1:10" s="10" customFormat="1" ht="12.95" customHeight="1" x14ac:dyDescent="0.25">
      <c r="D5" s="69" t="s">
        <v>2</v>
      </c>
      <c r="E5" s="30" t="s">
        <v>3</v>
      </c>
      <c r="F5" s="30"/>
      <c r="G5" s="30"/>
      <c r="H5" s="12" t="s">
        <v>52</v>
      </c>
      <c r="I5" s="89" t="s">
        <v>53</v>
      </c>
      <c r="J5" s="30"/>
    </row>
    <row r="6" spans="1:10" s="10" customFormat="1" ht="6" customHeight="1" x14ac:dyDescent="0.25">
      <c r="E6" s="67"/>
      <c r="I6" s="2"/>
      <c r="J6" s="2"/>
    </row>
    <row r="7" spans="1:10" s="11" customFormat="1" ht="12.95" customHeight="1" x14ac:dyDescent="0.2">
      <c r="A7" s="645">
        <v>1</v>
      </c>
      <c r="B7" s="645"/>
      <c r="C7" s="76" t="s">
        <v>4</v>
      </c>
      <c r="D7" s="138">
        <f>E7/E25</f>
        <v>2E-3</v>
      </c>
      <c r="E7" s="318">
        <f>_1</f>
        <v>10000</v>
      </c>
      <c r="F7" s="323"/>
      <c r="G7" s="323"/>
      <c r="H7" s="324">
        <v>0</v>
      </c>
      <c r="I7" s="318">
        <f>E7*H7</f>
        <v>0</v>
      </c>
      <c r="J7" s="34"/>
    </row>
    <row r="8" spans="1:10" ht="3.95" customHeight="1" x14ac:dyDescent="0.2">
      <c r="B8" s="4"/>
      <c r="D8" s="139"/>
      <c r="E8" s="44"/>
      <c r="F8" s="34"/>
      <c r="G8" s="34"/>
      <c r="H8" s="365"/>
      <c r="I8" s="44"/>
      <c r="J8" s="44"/>
    </row>
    <row r="9" spans="1:10" s="11" customFormat="1" ht="12.95" customHeight="1" x14ac:dyDescent="0.2">
      <c r="A9" s="645">
        <v>2</v>
      </c>
      <c r="B9" s="645"/>
      <c r="C9" s="76" t="s">
        <v>5</v>
      </c>
      <c r="D9" s="138">
        <f>E9/E25</f>
        <v>0.37</v>
      </c>
      <c r="E9" s="318">
        <f>_2</f>
        <v>1500000</v>
      </c>
      <c r="F9" s="323"/>
      <c r="G9" s="323"/>
      <c r="H9" s="325">
        <v>0</v>
      </c>
      <c r="I9" s="318">
        <f>E9*H9</f>
        <v>0</v>
      </c>
      <c r="J9" s="34"/>
    </row>
    <row r="10" spans="1:10" ht="3.95" customHeight="1" x14ac:dyDescent="0.2">
      <c r="D10" s="139"/>
      <c r="E10" s="34"/>
      <c r="F10" s="34"/>
      <c r="G10" s="34"/>
      <c r="H10" s="365"/>
      <c r="I10" s="34"/>
      <c r="J10" s="34"/>
    </row>
    <row r="11" spans="1:10" s="10" customFormat="1" ht="12.95" customHeight="1" x14ac:dyDescent="0.2">
      <c r="A11" s="645">
        <v>3</v>
      </c>
      <c r="B11" s="645"/>
      <c r="C11" s="76" t="s">
        <v>6</v>
      </c>
      <c r="D11" s="138">
        <f>E11/E25</f>
        <v>0.14899999999999999</v>
      </c>
      <c r="E11" s="318">
        <f>_3</f>
        <v>605000</v>
      </c>
      <c r="F11" s="323"/>
      <c r="G11" s="323"/>
      <c r="H11" s="325">
        <v>0</v>
      </c>
      <c r="I11" s="318">
        <f>E11*H11</f>
        <v>0</v>
      </c>
      <c r="J11" s="34"/>
    </row>
    <row r="12" spans="1:10" ht="3.95" customHeight="1" x14ac:dyDescent="0.2">
      <c r="D12" s="139"/>
      <c r="E12" s="34"/>
      <c r="F12" s="34"/>
      <c r="G12" s="34"/>
      <c r="H12" s="366"/>
      <c r="I12" s="34"/>
      <c r="J12" s="158"/>
    </row>
    <row r="13" spans="1:10" s="10" customFormat="1" ht="12.75" customHeight="1" x14ac:dyDescent="0.2">
      <c r="A13" s="645">
        <v>4</v>
      </c>
      <c r="B13" s="645"/>
      <c r="C13" s="76" t="s">
        <v>23</v>
      </c>
      <c r="D13" s="138">
        <f>E13/E25</f>
        <v>0.19700000000000001</v>
      </c>
      <c r="E13" s="318">
        <f>_4</f>
        <v>800000</v>
      </c>
      <c r="F13" s="323"/>
      <c r="G13" s="323"/>
      <c r="H13" s="328">
        <v>0</v>
      </c>
      <c r="I13" s="329">
        <f>E13*H13</f>
        <v>0</v>
      </c>
      <c r="J13" s="34"/>
    </row>
    <row r="14" spans="1:10" ht="3.95" customHeight="1" x14ac:dyDescent="0.2">
      <c r="B14" s="4"/>
      <c r="D14" s="139"/>
      <c r="E14" s="34"/>
      <c r="F14" s="34"/>
      <c r="G14" s="34"/>
      <c r="H14" s="365"/>
      <c r="I14" s="34"/>
      <c r="J14" s="33"/>
    </row>
    <row r="15" spans="1:10" s="11" customFormat="1" ht="12.95" customHeight="1" x14ac:dyDescent="0.2">
      <c r="A15" s="645">
        <v>5</v>
      </c>
      <c r="B15" s="645"/>
      <c r="C15" s="76" t="s">
        <v>24</v>
      </c>
      <c r="D15" s="138">
        <f>E15/E25</f>
        <v>2.5000000000000001E-2</v>
      </c>
      <c r="E15" s="318">
        <f>_5</f>
        <v>100000</v>
      </c>
      <c r="F15" s="323"/>
      <c r="G15" s="323"/>
      <c r="H15" s="328">
        <v>0</v>
      </c>
      <c r="I15" s="329">
        <f>E15*H15</f>
        <v>0</v>
      </c>
      <c r="J15" s="34"/>
    </row>
    <row r="16" spans="1:10" ht="3.95" customHeight="1" x14ac:dyDescent="0.2">
      <c r="D16" s="139"/>
      <c r="E16" s="34"/>
      <c r="F16" s="34"/>
      <c r="G16" s="34"/>
      <c r="H16" s="365"/>
      <c r="I16" s="34"/>
      <c r="J16" s="34"/>
    </row>
    <row r="17" spans="1:10" s="10" customFormat="1" ht="12.95" customHeight="1" x14ac:dyDescent="0.2">
      <c r="A17" s="645">
        <v>6</v>
      </c>
      <c r="B17" s="645"/>
      <c r="C17" s="76" t="s">
        <v>28</v>
      </c>
      <c r="D17" s="138">
        <f>E17/E25</f>
        <v>1.6E-2</v>
      </c>
      <c r="E17" s="318">
        <f>_6</f>
        <v>65000</v>
      </c>
      <c r="F17" s="323"/>
      <c r="G17" s="323"/>
      <c r="H17" s="328">
        <v>1</v>
      </c>
      <c r="I17" s="329">
        <f>E17*H17</f>
        <v>65000</v>
      </c>
      <c r="J17" s="34"/>
    </row>
    <row r="18" spans="1:10" ht="3.95" customHeight="1" x14ac:dyDescent="0.2">
      <c r="B18" s="13"/>
      <c r="D18" s="142"/>
      <c r="E18" s="34"/>
      <c r="F18" s="34"/>
      <c r="G18" s="34"/>
      <c r="H18" s="365"/>
      <c r="I18" s="34"/>
      <c r="J18" s="34"/>
    </row>
    <row r="19" spans="1:10" s="11" customFormat="1" ht="12.95" customHeight="1" x14ac:dyDescent="0.2">
      <c r="A19" s="645">
        <v>7</v>
      </c>
      <c r="B19" s="645"/>
      <c r="C19" s="76" t="s">
        <v>145</v>
      </c>
      <c r="D19" s="138">
        <f>E19/E25</f>
        <v>0.185</v>
      </c>
      <c r="E19" s="318">
        <f>_7</f>
        <v>750000</v>
      </c>
      <c r="F19" s="323"/>
      <c r="G19" s="323"/>
      <c r="H19" s="328">
        <v>0</v>
      </c>
      <c r="I19" s="329">
        <f>E19*H19</f>
        <v>0</v>
      </c>
      <c r="J19" s="34"/>
    </row>
    <row r="20" spans="1:10" ht="3.95" customHeight="1" x14ac:dyDescent="0.2">
      <c r="D20" s="142"/>
      <c r="E20" s="34"/>
      <c r="F20" s="34"/>
      <c r="G20" s="34"/>
      <c r="H20" s="365"/>
      <c r="I20" s="34"/>
      <c r="J20" s="34"/>
    </row>
    <row r="21" spans="1:10" s="11" customFormat="1" ht="12.95" customHeight="1" x14ac:dyDescent="0.2">
      <c r="A21" s="645">
        <v>8</v>
      </c>
      <c r="B21" s="645"/>
      <c r="C21" s="76" t="s">
        <v>30</v>
      </c>
      <c r="D21" s="138">
        <f>E21/E25</f>
        <v>1E-3</v>
      </c>
      <c r="E21" s="318">
        <f>_8</f>
        <v>3600</v>
      </c>
      <c r="F21" s="323"/>
      <c r="G21" s="323"/>
      <c r="H21" s="328">
        <v>0</v>
      </c>
      <c r="I21" s="329">
        <f>E21*H21</f>
        <v>0</v>
      </c>
      <c r="J21" s="34"/>
    </row>
    <row r="22" spans="1:10" ht="3.95" customHeight="1" x14ac:dyDescent="0.2">
      <c r="D22" s="142"/>
      <c r="E22" s="34"/>
      <c r="F22" s="34"/>
      <c r="G22" s="34"/>
      <c r="H22" s="366"/>
      <c r="I22" s="34"/>
      <c r="J22" s="158"/>
    </row>
    <row r="23" spans="1:10" s="11" customFormat="1" ht="12.95" customHeight="1" x14ac:dyDescent="0.2">
      <c r="A23" s="645">
        <v>9</v>
      </c>
      <c r="B23" s="645"/>
      <c r="C23" s="76" t="s">
        <v>31</v>
      </c>
      <c r="D23" s="138">
        <f>E23/E25</f>
        <v>5.5E-2</v>
      </c>
      <c r="E23" s="318">
        <f>_9</f>
        <v>225000</v>
      </c>
      <c r="F23" s="323"/>
      <c r="G23" s="323"/>
      <c r="H23" s="328">
        <v>0.01</v>
      </c>
      <c r="I23" s="329">
        <f>E23*H23</f>
        <v>2250</v>
      </c>
      <c r="J23" s="34"/>
    </row>
    <row r="24" spans="1:10" ht="9.9499999999999993" customHeight="1" x14ac:dyDescent="0.2">
      <c r="B24" s="13"/>
      <c r="D24" s="32"/>
      <c r="E24" s="34"/>
      <c r="F24" s="34"/>
      <c r="G24" s="34"/>
      <c r="H24" s="367"/>
      <c r="I24" s="34"/>
      <c r="J24" s="1"/>
    </row>
    <row r="25" spans="1:10" ht="12.95" customHeight="1" x14ac:dyDescent="0.2">
      <c r="A25" s="113" t="s">
        <v>56</v>
      </c>
      <c r="B25" s="114"/>
      <c r="C25" s="114"/>
      <c r="D25" s="71">
        <f>SUM(D7:D23)</f>
        <v>1</v>
      </c>
      <c r="E25" s="344">
        <f>_EK</f>
        <v>4058600</v>
      </c>
      <c r="F25" s="323"/>
      <c r="G25" s="323"/>
      <c r="H25" s="368"/>
      <c r="I25" s="320">
        <f>SUM(I7:I23)</f>
        <v>67250</v>
      </c>
      <c r="J25" s="22"/>
    </row>
    <row r="26" spans="1:10" ht="3.95" customHeight="1" x14ac:dyDescent="0.25">
      <c r="B26" s="265"/>
      <c r="D26" s="32"/>
      <c r="E26" s="34"/>
      <c r="F26" s="34"/>
      <c r="G26" s="34"/>
      <c r="H26" s="369"/>
      <c r="I26" s="44"/>
      <c r="J26" s="1"/>
    </row>
    <row r="27" spans="1:10" s="10" customFormat="1" ht="12.95" customHeight="1" x14ac:dyDescent="0.2">
      <c r="A27" s="302"/>
      <c r="B27" s="75" t="s">
        <v>34</v>
      </c>
      <c r="C27" s="76"/>
      <c r="D27" s="138"/>
      <c r="E27" s="345">
        <f>_mvB</f>
        <v>120000</v>
      </c>
      <c r="F27" s="323"/>
      <c r="G27" s="323"/>
      <c r="H27" s="328">
        <v>1</v>
      </c>
      <c r="I27" s="329">
        <f>E27*H27</f>
        <v>120000</v>
      </c>
    </row>
    <row r="28" spans="1:10" ht="9.9499999999999993" customHeight="1" x14ac:dyDescent="0.2">
      <c r="D28" s="32"/>
    </row>
    <row r="29" spans="1:10" s="14" customFormat="1" ht="12.95" customHeight="1" x14ac:dyDescent="0.3">
      <c r="A29" s="198" t="s">
        <v>58</v>
      </c>
      <c r="B29" s="199"/>
      <c r="C29" s="199"/>
      <c r="D29" s="205"/>
      <c r="E29" s="205"/>
      <c r="F29" s="205"/>
      <c r="G29" s="205"/>
      <c r="H29" s="206"/>
      <c r="I29" s="304">
        <f>I25+I27</f>
        <v>187250</v>
      </c>
      <c r="J29" s="607"/>
    </row>
    <row r="30" spans="1:10" ht="15" customHeight="1" x14ac:dyDescent="0.2">
      <c r="A30" s="163"/>
      <c r="B30" s="163"/>
      <c r="C30" s="163"/>
      <c r="D30" s="163"/>
      <c r="E30" s="163"/>
      <c r="F30" s="163"/>
      <c r="G30" s="163"/>
      <c r="I30" s="183"/>
    </row>
    <row r="31" spans="1:10" ht="12.75" customHeight="1" x14ac:dyDescent="0.2">
      <c r="A31" s="161" t="s">
        <v>162</v>
      </c>
      <c r="B31" s="161"/>
      <c r="C31" s="162"/>
      <c r="D31" s="162"/>
      <c r="E31" s="162"/>
      <c r="F31" s="162"/>
      <c r="G31" s="162"/>
      <c r="H31" s="161"/>
      <c r="I31" s="267"/>
      <c r="J31" s="164"/>
    </row>
    <row r="32" spans="1:10" ht="6.75" customHeight="1" x14ac:dyDescent="0.2">
      <c r="A32" s="163"/>
      <c r="B32" s="163"/>
      <c r="C32" s="163"/>
      <c r="D32" s="163"/>
      <c r="E32" s="163"/>
      <c r="F32" s="163"/>
      <c r="G32" s="163"/>
      <c r="I32" s="183"/>
    </row>
    <row r="33" spans="1:10" ht="12.75" customHeight="1" x14ac:dyDescent="0.2">
      <c r="A33" s="164" t="s">
        <v>106</v>
      </c>
      <c r="B33" s="163"/>
      <c r="C33" s="163"/>
      <c r="D33" s="163"/>
      <c r="E33" s="163"/>
      <c r="F33" s="163"/>
      <c r="G33" s="163"/>
      <c r="I33" s="183"/>
    </row>
    <row r="34" spans="1:10" ht="12.75" customHeight="1" x14ac:dyDescent="0.2">
      <c r="A34" s="18"/>
      <c r="B34" s="18"/>
      <c r="E34" s="165"/>
      <c r="F34" s="166" t="s">
        <v>61</v>
      </c>
      <c r="G34" s="166"/>
      <c r="H34" s="647" t="s">
        <v>244</v>
      </c>
      <c r="I34" s="647"/>
      <c r="J34" s="248"/>
    </row>
    <row r="35" spans="1:10" ht="12.75" customHeight="1" x14ac:dyDescent="0.2">
      <c r="B35" s="19" t="s">
        <v>63</v>
      </c>
      <c r="C35" s="35"/>
      <c r="D35" s="35"/>
      <c r="E35" s="118">
        <v>11</v>
      </c>
      <c r="F35" s="167" t="s">
        <v>64</v>
      </c>
      <c r="G35" s="166"/>
      <c r="H35" s="331"/>
      <c r="I35" s="561"/>
      <c r="J35" s="248"/>
    </row>
    <row r="36" spans="1:10" ht="12.75" customHeight="1" x14ac:dyDescent="0.2">
      <c r="B36" s="20" t="s">
        <v>65</v>
      </c>
      <c r="C36" s="36"/>
      <c r="D36" s="36"/>
      <c r="E36" s="119">
        <v>1</v>
      </c>
      <c r="F36" s="168" t="s">
        <v>66</v>
      </c>
      <c r="G36" s="166"/>
      <c r="H36" s="308"/>
      <c r="I36" s="309"/>
      <c r="J36" s="248"/>
    </row>
    <row r="37" spans="1:10" ht="12.75" customHeight="1" x14ac:dyDescent="0.2">
      <c r="B37" s="20" t="s">
        <v>67</v>
      </c>
      <c r="C37" s="36"/>
      <c r="D37" s="36"/>
      <c r="E37" s="119">
        <v>1</v>
      </c>
      <c r="F37" s="168" t="s">
        <v>66</v>
      </c>
      <c r="G37" s="166"/>
      <c r="H37" s="308"/>
      <c r="I37" s="309"/>
      <c r="J37" s="248"/>
    </row>
    <row r="38" spans="1:10" ht="12.75" customHeight="1" x14ac:dyDescent="0.2">
      <c r="B38" s="20" t="s">
        <v>68</v>
      </c>
      <c r="C38" s="36"/>
      <c r="D38" s="36"/>
      <c r="E38" s="119">
        <v>1</v>
      </c>
      <c r="F38" s="168" t="s">
        <v>66</v>
      </c>
      <c r="G38" s="166"/>
      <c r="H38" s="308"/>
      <c r="I38" s="309"/>
      <c r="J38" s="248"/>
    </row>
    <row r="39" spans="1:10" ht="4.5" customHeight="1" x14ac:dyDescent="0.2">
      <c r="A39" s="18"/>
      <c r="B39" s="18"/>
      <c r="C39" s="18"/>
      <c r="E39" s="169"/>
      <c r="F39" s="169"/>
      <c r="G39" s="8"/>
      <c r="H39" s="308"/>
      <c r="I39" s="309"/>
      <c r="J39" s="1"/>
    </row>
    <row r="40" spans="1:10" ht="12" customHeight="1" x14ac:dyDescent="0.25">
      <c r="A40" s="18"/>
      <c r="B40" s="562"/>
      <c r="C40" s="36" t="s">
        <v>73</v>
      </c>
      <c r="D40" s="36"/>
      <c r="E40" s="119">
        <v>0</v>
      </c>
      <c r="F40" s="330" t="s">
        <v>72</v>
      </c>
      <c r="G40" s="8"/>
      <c r="H40" s="308"/>
      <c r="I40" s="309"/>
      <c r="J40" s="1"/>
    </row>
    <row r="41" spans="1:10" ht="12.75" customHeight="1" x14ac:dyDescent="0.25">
      <c r="A41" s="18"/>
      <c r="B41" s="562"/>
      <c r="C41" s="36" t="s">
        <v>163</v>
      </c>
      <c r="D41" s="36"/>
      <c r="E41" s="119">
        <v>0</v>
      </c>
      <c r="F41" s="330" t="s">
        <v>72</v>
      </c>
      <c r="G41" s="8"/>
      <c r="H41" s="308"/>
      <c r="I41" s="309"/>
      <c r="J41" s="1"/>
    </row>
    <row r="42" spans="1:10" ht="12.75" customHeight="1" x14ac:dyDescent="0.25">
      <c r="B42" s="562"/>
      <c r="C42" s="36" t="s">
        <v>164</v>
      </c>
      <c r="D42" s="36"/>
      <c r="E42" s="119">
        <v>0</v>
      </c>
      <c r="F42" s="330" t="s">
        <v>70</v>
      </c>
      <c r="G42" s="8"/>
      <c r="H42" s="308"/>
      <c r="I42" s="333"/>
      <c r="J42" s="1"/>
    </row>
    <row r="43" spans="1:10" ht="4.5" customHeight="1" x14ac:dyDescent="0.2">
      <c r="A43" s="18"/>
      <c r="B43" s="18"/>
      <c r="C43" s="171"/>
      <c r="D43" s="171"/>
      <c r="E43" s="171"/>
      <c r="F43" s="171"/>
      <c r="G43" s="171"/>
      <c r="J43" s="1"/>
    </row>
    <row r="44" spans="1:10" ht="12.75" customHeight="1" x14ac:dyDescent="0.2">
      <c r="B44" s="18" t="s">
        <v>75</v>
      </c>
      <c r="C44" s="170"/>
      <c r="D44" s="171"/>
      <c r="E44" s="172">
        <f>SUM(E35:E42)</f>
        <v>14</v>
      </c>
      <c r="F44" s="171"/>
      <c r="G44" s="171"/>
      <c r="I44" s="334"/>
      <c r="J44" s="1"/>
    </row>
    <row r="45" spans="1:10" ht="12.95" customHeight="1" x14ac:dyDescent="0.2">
      <c r="B45" s="18"/>
      <c r="C45" s="171"/>
      <c r="D45" s="171"/>
      <c r="E45" s="171"/>
      <c r="F45" s="171"/>
      <c r="G45" s="171"/>
      <c r="I45" s="245"/>
      <c r="J45" s="1"/>
    </row>
    <row r="46" spans="1:10" ht="12.95" customHeight="1" x14ac:dyDescent="0.2">
      <c r="A46" s="164" t="s">
        <v>76</v>
      </c>
      <c r="B46" s="164"/>
      <c r="C46" s="163"/>
      <c r="D46" s="163"/>
      <c r="E46" s="163"/>
      <c r="F46" s="163"/>
      <c r="G46" s="163"/>
      <c r="H46" s="268"/>
      <c r="I46" s="1"/>
    </row>
    <row r="47" spans="1:10" ht="4.5" customHeight="1" x14ac:dyDescent="0.2">
      <c r="A47" s="164"/>
      <c r="B47" s="164"/>
      <c r="C47" s="164"/>
      <c r="I47" s="1"/>
    </row>
    <row r="48" spans="1:10" ht="12.75" customHeight="1" x14ac:dyDescent="0.2">
      <c r="A48" s="173" t="s">
        <v>77</v>
      </c>
      <c r="B48" s="173"/>
      <c r="E48" s="200">
        <f>I29</f>
        <v>187250</v>
      </c>
      <c r="I48" s="1"/>
    </row>
    <row r="49" spans="1:9" ht="3.95" customHeight="1" x14ac:dyDescent="0.2">
      <c r="A49" s="18"/>
      <c r="B49" s="18"/>
      <c r="C49" s="18"/>
      <c r="D49" s="18"/>
      <c r="E49" s="170"/>
      <c r="F49" s="648" t="str">
        <f>IF(I29&lt;100000,"! gemäß FA.9 (2): Ist die Bemessungsgrundlage niedriger als 100.000 €, sollte der Ermittlungsweg über Abschätzung des Büro- / Personalaufwandes gewählt werden","")</f>
        <v/>
      </c>
      <c r="G49" s="648"/>
      <c r="H49" s="648"/>
      <c r="I49" s="648"/>
    </row>
    <row r="50" spans="1:9" ht="12.95" customHeight="1" x14ac:dyDescent="0.2">
      <c r="A50" s="18" t="s">
        <v>165</v>
      </c>
      <c r="B50" s="18"/>
      <c r="C50" s="18"/>
      <c r="D50" s="18"/>
      <c r="E50" s="102">
        <f>((0.9672-(125060/((E48/90)+32000))+96.72*(E48/90)^(-(0.25))))*E48/90</f>
        <v>24173</v>
      </c>
      <c r="F50" s="648"/>
      <c r="G50" s="648"/>
      <c r="H50" s="648"/>
      <c r="I50" s="648"/>
    </row>
    <row r="51" spans="1:9" ht="3.95" customHeight="1" x14ac:dyDescent="0.2">
      <c r="A51" s="18"/>
      <c r="B51" s="18"/>
      <c r="E51" s="28"/>
      <c r="F51" s="648"/>
      <c r="G51" s="648"/>
      <c r="H51" s="648"/>
      <c r="I51" s="648"/>
    </row>
    <row r="52" spans="1:9" ht="13.5" customHeight="1" x14ac:dyDescent="0.3">
      <c r="A52" s="23" t="s">
        <v>166</v>
      </c>
      <c r="B52" s="23"/>
      <c r="E52" s="100">
        <f>0.044*E44+0.66</f>
        <v>1.28</v>
      </c>
      <c r="F52" s="648"/>
      <c r="G52" s="648"/>
      <c r="H52" s="648"/>
      <c r="I52" s="648"/>
    </row>
    <row r="53" spans="1:9" ht="3.95" customHeight="1" x14ac:dyDescent="0.2">
      <c r="A53" s="18"/>
      <c r="B53" s="18"/>
      <c r="E53" s="28"/>
      <c r="F53" s="648"/>
      <c r="G53" s="648"/>
      <c r="H53" s="648"/>
      <c r="I53" s="648"/>
    </row>
    <row r="54" spans="1:9" ht="13.5" customHeight="1" x14ac:dyDescent="0.3">
      <c r="A54" s="23" t="s">
        <v>167</v>
      </c>
      <c r="B54" s="23"/>
      <c r="E54" s="335">
        <f>ROUND(E50/E48*100*E52/100,6)</f>
        <v>0.165241</v>
      </c>
      <c r="F54" s="208" t="s">
        <v>80</v>
      </c>
      <c r="G54" s="208"/>
      <c r="I54"/>
    </row>
    <row r="55" spans="1:9" ht="13.5" customHeight="1" x14ac:dyDescent="0.25">
      <c r="A55" s="23" t="s">
        <v>168</v>
      </c>
      <c r="B55" s="23"/>
      <c r="E55" s="224">
        <v>0</v>
      </c>
      <c r="F55" s="208"/>
      <c r="I55"/>
    </row>
    <row r="56" spans="1:9" ht="3.95" customHeight="1" x14ac:dyDescent="0.25">
      <c r="A56" s="18"/>
      <c r="B56" s="18"/>
      <c r="E56" s="174"/>
      <c r="F56" s="174"/>
      <c r="G56" s="174"/>
      <c r="I56"/>
    </row>
    <row r="57" spans="1:9" ht="15" customHeight="1" x14ac:dyDescent="0.3">
      <c r="A57" s="21" t="s">
        <v>169</v>
      </c>
      <c r="B57" s="19"/>
      <c r="C57" s="175"/>
      <c r="D57" s="175"/>
      <c r="E57" s="176"/>
      <c r="F57" s="336">
        <f>ROUND(E48*E54*(1+E55),2)</f>
        <v>30941</v>
      </c>
      <c r="H57" s="208"/>
      <c r="I57" s="1"/>
    </row>
    <row r="58" spans="1:9" ht="9.75" customHeight="1" x14ac:dyDescent="0.2">
      <c r="A58" s="23"/>
      <c r="B58" s="18"/>
      <c r="C58" s="163"/>
      <c r="D58" s="163"/>
      <c r="E58" s="177"/>
      <c r="F58" s="177"/>
      <c r="G58" s="177"/>
      <c r="I58" s="1"/>
    </row>
    <row r="59" spans="1:9" ht="12.95" customHeight="1" x14ac:dyDescent="0.2">
      <c r="A59" s="23"/>
      <c r="B59" s="18"/>
      <c r="C59" s="163"/>
      <c r="D59" s="337" t="s">
        <v>84</v>
      </c>
      <c r="E59" s="338" t="s">
        <v>60</v>
      </c>
      <c r="F59" s="8"/>
      <c r="G59" s="569"/>
      <c r="H59" s="165"/>
      <c r="I59" s="29"/>
    </row>
    <row r="60" spans="1:9" ht="12.75" customHeight="1" x14ac:dyDescent="0.2">
      <c r="A60" s="163" t="s">
        <v>139</v>
      </c>
      <c r="B60" s="163"/>
      <c r="D60" s="339">
        <v>0.02</v>
      </c>
      <c r="E60" s="224">
        <v>0.02</v>
      </c>
      <c r="F60" s="183">
        <f>$F$57*E60</f>
        <v>619</v>
      </c>
      <c r="G60" s="314"/>
      <c r="H60" s="570"/>
      <c r="I60" s="183"/>
    </row>
    <row r="61" spans="1:9" ht="12.75" customHeight="1" x14ac:dyDescent="0.2">
      <c r="A61" s="163" t="s">
        <v>86</v>
      </c>
      <c r="B61" s="163"/>
      <c r="D61" s="339">
        <v>0.1</v>
      </c>
      <c r="E61" s="225">
        <v>0.1</v>
      </c>
      <c r="F61" s="183">
        <f t="shared" ref="F61:F69" si="0">$F$57*E61</f>
        <v>3094</v>
      </c>
      <c r="G61" s="315"/>
      <c r="H61" s="571"/>
      <c r="I61" s="183"/>
    </row>
    <row r="62" spans="1:9" ht="12.75" customHeight="1" x14ac:dyDescent="0.2">
      <c r="A62" s="163" t="s">
        <v>87</v>
      </c>
      <c r="B62" s="163"/>
      <c r="D62" s="339">
        <v>0.12</v>
      </c>
      <c r="E62" s="225">
        <v>0.12</v>
      </c>
      <c r="F62" s="183">
        <f t="shared" si="0"/>
        <v>3713</v>
      </c>
      <c r="G62" s="315"/>
      <c r="H62" s="571"/>
      <c r="I62" s="183"/>
    </row>
    <row r="63" spans="1:9" ht="12.75" customHeight="1" x14ac:dyDescent="0.2">
      <c r="A63" s="163" t="s">
        <v>88</v>
      </c>
      <c r="B63" s="163"/>
      <c r="D63" s="339">
        <v>0.04</v>
      </c>
      <c r="E63" s="225">
        <v>0.04</v>
      </c>
      <c r="F63" s="183">
        <f t="shared" si="0"/>
        <v>1238</v>
      </c>
      <c r="G63" s="315"/>
      <c r="H63" s="571"/>
      <c r="I63" s="183"/>
    </row>
    <row r="64" spans="1:9" ht="12.75" customHeight="1" x14ac:dyDescent="0.2">
      <c r="A64" s="163" t="s">
        <v>89</v>
      </c>
      <c r="B64" s="163"/>
      <c r="D64" s="339">
        <v>0.2</v>
      </c>
      <c r="E64" s="225">
        <v>0.2</v>
      </c>
      <c r="F64" s="183">
        <f t="shared" si="0"/>
        <v>6188</v>
      </c>
      <c r="G64" s="315"/>
      <c r="H64" s="571"/>
      <c r="I64" s="183"/>
    </row>
    <row r="65" spans="1:13" ht="12.75" customHeight="1" x14ac:dyDescent="0.2">
      <c r="A65" s="163" t="s">
        <v>90</v>
      </c>
      <c r="B65" s="163"/>
      <c r="D65" s="339">
        <v>7.0000000000000007E-2</v>
      </c>
      <c r="E65" s="225">
        <v>7.0000000000000007E-2</v>
      </c>
      <c r="F65" s="183">
        <f t="shared" si="0"/>
        <v>2166</v>
      </c>
      <c r="G65" s="314"/>
      <c r="H65" s="570"/>
      <c r="I65" s="183"/>
    </row>
    <row r="66" spans="1:13" ht="12.75" customHeight="1" x14ac:dyDescent="0.2">
      <c r="A66" s="163" t="s">
        <v>91</v>
      </c>
      <c r="B66" s="163"/>
      <c r="D66" s="339">
        <v>0.03</v>
      </c>
      <c r="E66" s="225">
        <v>0.03</v>
      </c>
      <c r="F66" s="183">
        <f t="shared" si="0"/>
        <v>928</v>
      </c>
      <c r="G66" s="315"/>
      <c r="H66" s="571"/>
      <c r="I66" s="183"/>
    </row>
    <row r="67" spans="1:13" ht="12.75" customHeight="1" x14ac:dyDescent="0.2">
      <c r="A67" s="163" t="s">
        <v>113</v>
      </c>
      <c r="B67" s="163"/>
      <c r="D67" s="339">
        <v>7.0000000000000007E-2</v>
      </c>
      <c r="E67" s="225">
        <v>7.0000000000000007E-2</v>
      </c>
      <c r="F67" s="183">
        <f t="shared" si="0"/>
        <v>2166</v>
      </c>
      <c r="G67" s="315"/>
      <c r="H67" s="571"/>
      <c r="I67" s="183"/>
    </row>
    <row r="68" spans="1:13" ht="12.75" customHeight="1" x14ac:dyDescent="0.2">
      <c r="A68" s="163" t="s">
        <v>93</v>
      </c>
      <c r="B68" s="163"/>
      <c r="D68" s="339">
        <v>0.33</v>
      </c>
      <c r="E68" s="225">
        <v>0.33</v>
      </c>
      <c r="F68" s="183">
        <f t="shared" si="0"/>
        <v>10211</v>
      </c>
      <c r="G68" s="315"/>
      <c r="H68" s="571"/>
      <c r="I68" s="183"/>
    </row>
    <row r="69" spans="1:13" ht="12.75" customHeight="1" x14ac:dyDescent="0.2">
      <c r="A69" s="175" t="s">
        <v>115</v>
      </c>
      <c r="B69" s="175"/>
      <c r="C69" s="35"/>
      <c r="D69" s="340">
        <v>0.02</v>
      </c>
      <c r="E69" s="226">
        <v>0.02</v>
      </c>
      <c r="F69" s="184">
        <f t="shared" si="0"/>
        <v>619</v>
      </c>
      <c r="G69" s="316"/>
      <c r="H69" s="572"/>
      <c r="I69" s="184"/>
    </row>
    <row r="70" spans="1:13" s="16" customFormat="1" ht="18.600000000000001" customHeight="1" x14ac:dyDescent="0.25">
      <c r="A70" s="370" t="s">
        <v>116</v>
      </c>
      <c r="B70" s="370"/>
      <c r="C70" s="370"/>
      <c r="D70" s="627">
        <f>SUM(D60:D69)</f>
        <v>1</v>
      </c>
      <c r="E70" s="371">
        <f>SUM(E60:E69)</f>
        <v>1</v>
      </c>
      <c r="F70" s="372">
        <f>SUM(F60:F69)</f>
        <v>30942</v>
      </c>
      <c r="H70" s="371"/>
      <c r="I70" s="372"/>
    </row>
    <row r="71" spans="1:13" ht="12.75" customHeight="1" x14ac:dyDescent="0.2">
      <c r="A71" s="253" t="s">
        <v>152</v>
      </c>
      <c r="B71" s="178"/>
      <c r="D71" s="314">
        <v>1.4999999999999999E-2</v>
      </c>
      <c r="E71" s="224">
        <v>0</v>
      </c>
      <c r="F71" s="183">
        <f>$F$57*E71</f>
        <v>0</v>
      </c>
      <c r="G71" s="179"/>
      <c r="H71" s="183"/>
      <c r="I71" s="91"/>
      <c r="J71" s="1"/>
    </row>
    <row r="72" spans="1:13" ht="12.75" customHeight="1" x14ac:dyDescent="0.2">
      <c r="A72" s="253" t="s">
        <v>236</v>
      </c>
      <c r="B72" s="180"/>
      <c r="C72" s="35"/>
      <c r="D72" s="373">
        <v>2.5000000000000001E-2</v>
      </c>
      <c r="E72" s="374">
        <v>0</v>
      </c>
      <c r="F72" s="184">
        <f>$F$57*E72</f>
        <v>0</v>
      </c>
      <c r="G72" s="604"/>
      <c r="H72" s="184"/>
      <c r="I72" s="606"/>
      <c r="J72" s="1"/>
    </row>
    <row r="73" spans="1:13" ht="12.75" customHeight="1" x14ac:dyDescent="0.2">
      <c r="A73" s="649" t="s">
        <v>252</v>
      </c>
      <c r="B73" s="649"/>
      <c r="C73" s="649"/>
      <c r="D73" s="630">
        <f>SUM(D70:D72)</f>
        <v>1.04</v>
      </c>
      <c r="E73" s="179">
        <f>E71+E72</f>
        <v>0</v>
      </c>
      <c r="F73" s="372">
        <f>F70+F71+F72</f>
        <v>30942</v>
      </c>
      <c r="H73" s="179"/>
      <c r="I73" s="99">
        <f>F73</f>
        <v>30942</v>
      </c>
      <c r="J73" s="1"/>
      <c r="K73" s="9"/>
    </row>
    <row r="74" spans="1:13" ht="12.75" customHeight="1" x14ac:dyDescent="0.2">
      <c r="A74" s="181"/>
      <c r="B74" s="18"/>
      <c r="D74" s="179"/>
      <c r="E74" s="179"/>
      <c r="F74" s="185"/>
      <c r="G74" s="8"/>
      <c r="I74" s="317"/>
      <c r="J74" s="1"/>
    </row>
    <row r="75" spans="1:13" ht="15" x14ac:dyDescent="0.25">
      <c r="A75" s="33" t="s">
        <v>98</v>
      </c>
      <c r="E75" s="230">
        <v>0</v>
      </c>
      <c r="F75" s="231">
        <v>0</v>
      </c>
      <c r="G75" s="581"/>
      <c r="I75" s="92">
        <f>E75*F75</f>
        <v>0</v>
      </c>
      <c r="K75"/>
      <c r="L75"/>
      <c r="M75"/>
    </row>
    <row r="76" spans="1:13" ht="3.95" customHeight="1" x14ac:dyDescent="0.25">
      <c r="I76"/>
    </row>
    <row r="77" spans="1:13" s="23" customFormat="1" ht="12.75" x14ac:dyDescent="0.2">
      <c r="A77" s="94" t="s">
        <v>170</v>
      </c>
      <c r="B77" s="95"/>
      <c r="C77" s="96"/>
      <c r="D77" s="98"/>
      <c r="E77" s="97"/>
      <c r="F77" s="97"/>
      <c r="G77" s="97"/>
      <c r="H77" s="97"/>
      <c r="I77" s="99">
        <f>I73+I75</f>
        <v>30942</v>
      </c>
    </row>
    <row r="78" spans="1:13" s="23" customFormat="1" ht="4.5" customHeight="1" x14ac:dyDescent="0.2">
      <c r="B78" s="24"/>
      <c r="C78" s="25"/>
      <c r="D78" s="47"/>
      <c r="E78" s="48"/>
      <c r="F78" s="48"/>
      <c r="G78" s="48"/>
      <c r="I78" s="91"/>
    </row>
    <row r="79" spans="1:13" s="23" customFormat="1" ht="12.75" x14ac:dyDescent="0.2">
      <c r="A79" s="49" t="s">
        <v>40</v>
      </c>
      <c r="B79" s="24"/>
      <c r="C79" s="25"/>
      <c r="D79" s="47"/>
      <c r="E79" s="220">
        <v>0.04</v>
      </c>
      <c r="F79" s="48"/>
      <c r="G79" s="48"/>
      <c r="I79" s="92">
        <f>ROUND(I77*E79,2)</f>
        <v>1238</v>
      </c>
    </row>
    <row r="80" spans="1:13" s="23" customFormat="1" ht="3" customHeight="1" x14ac:dyDescent="0.2">
      <c r="A80" s="50"/>
      <c r="B80" s="51"/>
      <c r="C80" s="52"/>
      <c r="D80" s="56"/>
      <c r="E80" s="221"/>
      <c r="F80" s="57"/>
      <c r="G80" s="57"/>
      <c r="H80" s="50"/>
      <c r="I80" s="93"/>
    </row>
    <row r="81" spans="1:9" s="23" customFormat="1" ht="3" customHeight="1" x14ac:dyDescent="0.2">
      <c r="B81" s="24"/>
      <c r="C81" s="25"/>
      <c r="D81" s="26"/>
      <c r="E81" s="219"/>
      <c r="F81" s="48"/>
      <c r="G81" s="48"/>
      <c r="I81" s="91"/>
    </row>
    <row r="82" spans="1:9" s="23" customFormat="1" ht="12.75" x14ac:dyDescent="0.2">
      <c r="A82" s="53" t="s">
        <v>171</v>
      </c>
      <c r="B82" s="54"/>
      <c r="C82" s="55"/>
      <c r="D82" s="26"/>
      <c r="E82" s="219"/>
      <c r="F82" s="48"/>
      <c r="G82" s="48"/>
      <c r="I82" s="92">
        <f>I77+I79</f>
        <v>32180</v>
      </c>
    </row>
    <row r="83" spans="1:9" s="23" customFormat="1" ht="12.75" x14ac:dyDescent="0.2">
      <c r="A83" s="23" t="s">
        <v>48</v>
      </c>
      <c r="B83" s="24"/>
      <c r="C83" s="25"/>
      <c r="D83" s="26"/>
      <c r="E83" s="27">
        <v>0.2</v>
      </c>
      <c r="F83" s="27"/>
      <c r="G83" s="27"/>
      <c r="I83" s="92">
        <f>ROUND(I82*E83,2)</f>
        <v>6436</v>
      </c>
    </row>
    <row r="84" spans="1:9" s="23" customFormat="1" ht="3" customHeight="1" x14ac:dyDescent="0.2">
      <c r="B84" s="24"/>
      <c r="C84" s="25"/>
      <c r="D84" s="26"/>
      <c r="E84" s="48"/>
      <c r="F84" s="48"/>
      <c r="G84" s="48"/>
      <c r="I84" s="91"/>
    </row>
    <row r="85" spans="1:9" s="23" customFormat="1" ht="12.75" x14ac:dyDescent="0.2">
      <c r="A85" s="191" t="s">
        <v>172</v>
      </c>
      <c r="B85" s="201"/>
      <c r="C85" s="192"/>
      <c r="D85" s="194"/>
      <c r="E85" s="195"/>
      <c r="F85" s="195"/>
      <c r="G85" s="195"/>
      <c r="H85" s="193"/>
      <c r="I85" s="196">
        <f>SUM(I82:I83)</f>
        <v>38616</v>
      </c>
    </row>
    <row r="86" spans="1:9" ht="5.0999999999999996" customHeight="1" x14ac:dyDescent="0.2"/>
    <row r="87" spans="1:9" ht="12.75" x14ac:dyDescent="0.2">
      <c r="A87" s="203" t="s">
        <v>120</v>
      </c>
      <c r="E87" s="270">
        <f>I82/E25</f>
        <v>7.9290000000000003E-3</v>
      </c>
    </row>
  </sheetData>
  <sheetProtection algorithmName="SHA-512" hashValue="H+jEK0Vl4oQAlC7JqQPKMNXpYUMJD3/YenJVIu1QDGZ5jg2f8mU1VwjmJiyGr2zfSCIv5EHfPCYpMeLe+/XHOA==" saltValue="k4EPm7Xh5mHiZ0MFpoz5dw==" spinCount="100000" sheet="1" objects="1" scenarios="1"/>
  <mergeCells count="13">
    <mergeCell ref="A73:C73"/>
    <mergeCell ref="F49:I53"/>
    <mergeCell ref="H2:I2"/>
    <mergeCell ref="A7:B7"/>
    <mergeCell ref="A9:B9"/>
    <mergeCell ref="A11:B11"/>
    <mergeCell ref="A13:B13"/>
    <mergeCell ref="A15:B15"/>
    <mergeCell ref="A17:B17"/>
    <mergeCell ref="A19:B19"/>
    <mergeCell ref="A21:B21"/>
    <mergeCell ref="A23:B23"/>
    <mergeCell ref="H34:I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Scroll Bar 1">
              <controlPr defaultSize="0" autoPict="0">
                <anchor moveWithCells="1">
                  <from>
                    <xdr:col>7</xdr:col>
                    <xdr:colOff>38100</xdr:colOff>
                    <xdr:row>34</xdr:row>
                    <xdr:rowOff>28575</xdr:rowOff>
                  </from>
                  <to>
                    <xdr:col>8</xdr:col>
                    <xdr:colOff>1009650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Scroll Bar 2">
              <controlPr defaultSize="0" autoPict="0">
                <anchor moveWithCells="1">
                  <from>
                    <xdr:col>7</xdr:col>
                    <xdr:colOff>38100</xdr:colOff>
                    <xdr:row>35</xdr:row>
                    <xdr:rowOff>28575</xdr:rowOff>
                  </from>
                  <to>
                    <xdr:col>8</xdr:col>
                    <xdr:colOff>1000125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Scroll Bar 3">
              <controlPr defaultSize="0" autoPict="0">
                <anchor moveWithCells="1">
                  <from>
                    <xdr:col>7</xdr:col>
                    <xdr:colOff>38100</xdr:colOff>
                    <xdr:row>36</xdr:row>
                    <xdr:rowOff>28575</xdr:rowOff>
                  </from>
                  <to>
                    <xdr:col>8</xdr:col>
                    <xdr:colOff>1000125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Scroll Bar 4">
              <controlPr defaultSize="0" autoPict="0">
                <anchor moveWithCells="1">
                  <from>
                    <xdr:col>7</xdr:col>
                    <xdr:colOff>38100</xdr:colOff>
                    <xdr:row>37</xdr:row>
                    <xdr:rowOff>28575</xdr:rowOff>
                  </from>
                  <to>
                    <xdr:col>8</xdr:col>
                    <xdr:colOff>1000125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41</xdr:row>
                    <xdr:rowOff>28575</xdr:rowOff>
                  </from>
                  <to>
                    <xdr:col>8</xdr:col>
                    <xdr:colOff>1000125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40</xdr:row>
                    <xdr:rowOff>28575</xdr:rowOff>
                  </from>
                  <to>
                    <xdr:col>8</xdr:col>
                    <xdr:colOff>1000125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39</xdr:row>
                    <xdr:rowOff>38100</xdr:rowOff>
                  </from>
                  <to>
                    <xdr:col>8</xdr:col>
                    <xdr:colOff>1009650</xdr:colOff>
                    <xdr:row>39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F71A-4EDE-474F-90D7-2F3E3FAB01FE}">
  <sheetPr>
    <tabColor theme="6"/>
  </sheetPr>
  <dimension ref="A1:M93"/>
  <sheetViews>
    <sheetView showGridLines="0" zoomScaleNormal="100" zoomScaleSheetLayoutView="85" zoomScalePageLayoutView="265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9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" width="2.7109375" style="1" customWidth="1"/>
    <col min="17" max="16384" width="11.5703125" style="1"/>
  </cols>
  <sheetData>
    <row r="1" spans="1:10" ht="5.0999999999999996" customHeight="1" x14ac:dyDescent="0.2"/>
    <row r="2" spans="1:10" s="37" customFormat="1" ht="35.1" customHeight="1" x14ac:dyDescent="0.2">
      <c r="A2" s="107" t="s">
        <v>51</v>
      </c>
      <c r="E2" s="38"/>
      <c r="F2" s="38"/>
      <c r="G2" s="38"/>
      <c r="H2" s="644" t="s">
        <v>173</v>
      </c>
      <c r="I2" s="644"/>
      <c r="J2" s="43"/>
    </row>
    <row r="3" spans="1:10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 x14ac:dyDescent="0.25">
      <c r="I4" s="2"/>
      <c r="J4" s="2"/>
    </row>
    <row r="5" spans="1:10" s="10" customFormat="1" ht="12.95" customHeight="1" x14ac:dyDescent="0.25">
      <c r="D5" s="69" t="s">
        <v>2</v>
      </c>
      <c r="E5" s="30" t="s">
        <v>3</v>
      </c>
      <c r="F5" s="30"/>
      <c r="G5" s="30"/>
      <c r="H5" s="12" t="s">
        <v>52</v>
      </c>
      <c r="I5" s="89" t="s">
        <v>53</v>
      </c>
      <c r="J5" s="30"/>
    </row>
    <row r="6" spans="1:10" s="10" customFormat="1" ht="6" customHeight="1" x14ac:dyDescent="0.25">
      <c r="E6" s="67"/>
      <c r="I6" s="2"/>
      <c r="J6" s="2"/>
    </row>
    <row r="7" spans="1:10" s="11" customFormat="1" ht="12.95" customHeight="1" x14ac:dyDescent="0.2">
      <c r="A7" s="645">
        <v>1</v>
      </c>
      <c r="B7" s="645"/>
      <c r="C7" s="76" t="s">
        <v>4</v>
      </c>
      <c r="D7" s="138">
        <f>E7/$E$33</f>
        <v>2E-3</v>
      </c>
      <c r="E7" s="318">
        <f>_1</f>
        <v>10000</v>
      </c>
      <c r="F7" s="263"/>
      <c r="G7" s="263"/>
      <c r="H7" s="281">
        <v>0</v>
      </c>
      <c r="I7" s="375">
        <f>E7*H7</f>
        <v>0</v>
      </c>
      <c r="J7" s="34"/>
    </row>
    <row r="8" spans="1:10" ht="4.3499999999999996" customHeight="1" x14ac:dyDescent="0.2">
      <c r="B8" s="4"/>
      <c r="D8" s="139"/>
      <c r="E8" s="44"/>
      <c r="F8" s="229"/>
      <c r="G8" s="229"/>
      <c r="H8" s="283"/>
      <c r="I8" s="244"/>
      <c r="J8" s="44"/>
    </row>
    <row r="9" spans="1:10" s="11" customFormat="1" ht="12.95" customHeight="1" x14ac:dyDescent="0.2">
      <c r="A9" s="645">
        <v>2</v>
      </c>
      <c r="B9" s="645"/>
      <c r="C9" s="76" t="s">
        <v>5</v>
      </c>
      <c r="D9" s="138">
        <f>E9/$E$33</f>
        <v>0.37</v>
      </c>
      <c r="E9" s="318">
        <f>_2</f>
        <v>1500000</v>
      </c>
      <c r="F9" s="263"/>
      <c r="G9" s="263"/>
      <c r="H9" s="299">
        <v>1</v>
      </c>
      <c r="I9" s="375">
        <f>E9*H9</f>
        <v>1500000</v>
      </c>
      <c r="J9" s="34"/>
    </row>
    <row r="10" spans="1:10" ht="4.3499999999999996" customHeight="1" x14ac:dyDescent="0.2">
      <c r="D10" s="139"/>
      <c r="E10" s="34"/>
      <c r="F10" s="229"/>
      <c r="G10" s="229"/>
      <c r="H10" s="283"/>
      <c r="I10" s="376"/>
      <c r="J10" s="34"/>
    </row>
    <row r="11" spans="1:10" s="10" customFormat="1" ht="12.95" customHeight="1" x14ac:dyDescent="0.2">
      <c r="A11" s="645">
        <v>3</v>
      </c>
      <c r="B11" s="645"/>
      <c r="C11" s="76" t="s">
        <v>6</v>
      </c>
      <c r="D11" s="138">
        <f>E11/$E$33</f>
        <v>0.14899999999999999</v>
      </c>
      <c r="E11" s="609">
        <f>_3</f>
        <v>605000</v>
      </c>
      <c r="F11" s="263"/>
      <c r="G11" s="263"/>
      <c r="H11" s="283"/>
      <c r="I11" s="376"/>
      <c r="J11" s="34"/>
    </row>
    <row r="12" spans="1:10" ht="12.95" customHeight="1" x14ac:dyDescent="0.2">
      <c r="A12" s="348">
        <v>3</v>
      </c>
      <c r="B12" s="289" t="s">
        <v>7</v>
      </c>
      <c r="C12" s="290" t="s">
        <v>8</v>
      </c>
      <c r="D12" s="140"/>
      <c r="E12" s="610">
        <f>_3.01</f>
        <v>120000</v>
      </c>
      <c r="F12" s="263"/>
      <c r="G12" s="263"/>
      <c r="H12" s="285">
        <v>0.05</v>
      </c>
      <c r="I12" s="377">
        <f t="shared" ref="I12:I19" si="0">E12*H12</f>
        <v>6000</v>
      </c>
      <c r="J12" s="34"/>
    </row>
    <row r="13" spans="1:10" ht="12.95" customHeight="1" x14ac:dyDescent="0.2">
      <c r="A13" s="349">
        <v>3</v>
      </c>
      <c r="B13" s="292" t="s">
        <v>9</v>
      </c>
      <c r="C13" s="293" t="s">
        <v>10</v>
      </c>
      <c r="D13" s="141"/>
      <c r="E13" s="611">
        <f>_3.02</f>
        <v>130000</v>
      </c>
      <c r="F13" s="263"/>
      <c r="G13" s="263"/>
      <c r="H13" s="285">
        <v>0.05</v>
      </c>
      <c r="I13" s="345">
        <f t="shared" si="0"/>
        <v>6500</v>
      </c>
      <c r="J13" s="34"/>
    </row>
    <row r="14" spans="1:10" ht="12.95" customHeight="1" x14ac:dyDescent="0.2">
      <c r="A14" s="349">
        <v>3</v>
      </c>
      <c r="B14" s="292" t="s">
        <v>11</v>
      </c>
      <c r="C14" s="293" t="s">
        <v>12</v>
      </c>
      <c r="D14" s="141"/>
      <c r="E14" s="516">
        <f>_3.03</f>
        <v>130000</v>
      </c>
      <c r="F14" s="263"/>
      <c r="G14" s="263"/>
      <c r="H14" s="285">
        <v>0.08</v>
      </c>
      <c r="I14" s="345">
        <f t="shared" si="0"/>
        <v>10400</v>
      </c>
      <c r="J14" s="34"/>
    </row>
    <row r="15" spans="1:10" ht="12.95" customHeight="1" x14ac:dyDescent="0.2">
      <c r="A15" s="349">
        <v>3</v>
      </c>
      <c r="B15" s="292" t="s">
        <v>13</v>
      </c>
      <c r="C15" s="293" t="s">
        <v>14</v>
      </c>
      <c r="D15" s="141"/>
      <c r="E15" s="516">
        <f>_3.04</f>
        <v>140000</v>
      </c>
      <c r="F15" s="263"/>
      <c r="G15" s="263"/>
      <c r="H15" s="285">
        <v>0.05</v>
      </c>
      <c r="I15" s="345">
        <f t="shared" si="0"/>
        <v>7000</v>
      </c>
      <c r="J15" s="34"/>
    </row>
    <row r="16" spans="1:10" ht="12.95" customHeight="1" x14ac:dyDescent="0.2">
      <c r="A16" s="349">
        <v>3</v>
      </c>
      <c r="B16" s="292" t="s">
        <v>15</v>
      </c>
      <c r="C16" s="293" t="s">
        <v>16</v>
      </c>
      <c r="D16" s="141"/>
      <c r="E16" s="516">
        <f>_3.05</f>
        <v>65000</v>
      </c>
      <c r="F16" s="263"/>
      <c r="G16" s="263"/>
      <c r="H16" s="285">
        <v>0</v>
      </c>
      <c r="I16" s="345">
        <f t="shared" si="0"/>
        <v>0</v>
      </c>
      <c r="J16" s="34"/>
    </row>
    <row r="17" spans="1:10" ht="12.95" customHeight="1" x14ac:dyDescent="0.2">
      <c r="A17" s="349">
        <v>3</v>
      </c>
      <c r="B17" s="292" t="s">
        <v>17</v>
      </c>
      <c r="C17" s="293" t="s">
        <v>18</v>
      </c>
      <c r="D17" s="141"/>
      <c r="E17" s="516">
        <f>_3.06</f>
        <v>20000</v>
      </c>
      <c r="F17" s="263"/>
      <c r="G17" s="263"/>
      <c r="H17" s="285">
        <v>0.15</v>
      </c>
      <c r="I17" s="345">
        <f t="shared" si="0"/>
        <v>3000</v>
      </c>
      <c r="J17" s="34"/>
    </row>
    <row r="18" spans="1:10" ht="12.95" customHeight="1" x14ac:dyDescent="0.2">
      <c r="A18" s="349">
        <v>3</v>
      </c>
      <c r="B18" s="292" t="s">
        <v>19</v>
      </c>
      <c r="C18" s="293" t="s">
        <v>20</v>
      </c>
      <c r="D18" s="141"/>
      <c r="E18" s="516">
        <f>_3.07</f>
        <v>0</v>
      </c>
      <c r="F18" s="263"/>
      <c r="G18" s="263"/>
      <c r="H18" s="285">
        <v>0</v>
      </c>
      <c r="I18" s="345">
        <f t="shared" si="0"/>
        <v>0</v>
      </c>
      <c r="J18" s="34"/>
    </row>
    <row r="19" spans="1:10" ht="12.95" customHeight="1" x14ac:dyDescent="0.2">
      <c r="A19" s="349">
        <v>3</v>
      </c>
      <c r="B19" s="292" t="s">
        <v>21</v>
      </c>
      <c r="C19" s="293" t="s">
        <v>22</v>
      </c>
      <c r="D19" s="141"/>
      <c r="E19" s="516">
        <f>_3.08</f>
        <v>0</v>
      </c>
      <c r="F19" s="263"/>
      <c r="G19" s="263"/>
      <c r="H19" s="285">
        <v>0</v>
      </c>
      <c r="I19" s="378">
        <f t="shared" si="0"/>
        <v>0</v>
      </c>
      <c r="J19" s="34"/>
    </row>
    <row r="20" spans="1:10" ht="4.3499999999999996" customHeight="1" x14ac:dyDescent="0.2">
      <c r="D20" s="139"/>
      <c r="E20" s="34"/>
      <c r="F20" s="229"/>
      <c r="G20" s="229"/>
      <c r="H20" s="295"/>
      <c r="I20" s="376"/>
      <c r="J20" s="158"/>
    </row>
    <row r="21" spans="1:10" s="10" customFormat="1" ht="12.95" customHeight="1" x14ac:dyDescent="0.2">
      <c r="A21" s="645">
        <v>4</v>
      </c>
      <c r="B21" s="645"/>
      <c r="C21" s="76" t="s">
        <v>23</v>
      </c>
      <c r="D21" s="138">
        <f>E21/$E$33</f>
        <v>0.19700000000000001</v>
      </c>
      <c r="E21" s="318">
        <f>_4</f>
        <v>800000</v>
      </c>
      <c r="F21" s="263"/>
      <c r="G21" s="263"/>
      <c r="H21" s="285">
        <v>0.05</v>
      </c>
      <c r="I21" s="321">
        <f>E21*H21</f>
        <v>40000</v>
      </c>
      <c r="J21" s="34"/>
    </row>
    <row r="22" spans="1:10" ht="3.95" customHeight="1" x14ac:dyDescent="0.2">
      <c r="B22" s="4"/>
      <c r="D22" s="139"/>
      <c r="E22" s="34"/>
      <c r="F22" s="229"/>
      <c r="G22" s="229"/>
      <c r="H22" s="283"/>
      <c r="I22" s="376"/>
      <c r="J22" s="33"/>
    </row>
    <row r="23" spans="1:10" s="11" customFormat="1" ht="12.95" customHeight="1" x14ac:dyDescent="0.2">
      <c r="A23" s="645">
        <v>5</v>
      </c>
      <c r="B23" s="645"/>
      <c r="C23" s="76" t="s">
        <v>24</v>
      </c>
      <c r="D23" s="138">
        <f>E23/$E$33</f>
        <v>2.5000000000000001E-2</v>
      </c>
      <c r="E23" s="326">
        <f>_5</f>
        <v>100000</v>
      </c>
      <c r="F23" s="263"/>
      <c r="G23" s="263"/>
      <c r="H23" s="285">
        <v>0</v>
      </c>
      <c r="I23" s="321">
        <f>E23*H23</f>
        <v>0</v>
      </c>
      <c r="J23" s="34"/>
    </row>
    <row r="24" spans="1:10" ht="3.95" customHeight="1" x14ac:dyDescent="0.2">
      <c r="D24" s="139"/>
      <c r="E24" s="34"/>
      <c r="F24" s="229"/>
      <c r="G24" s="229"/>
      <c r="H24" s="283"/>
      <c r="I24" s="376"/>
      <c r="J24" s="34"/>
    </row>
    <row r="25" spans="1:10" s="10" customFormat="1" ht="12.95" customHeight="1" x14ac:dyDescent="0.2">
      <c r="A25" s="645">
        <v>6</v>
      </c>
      <c r="B25" s="645"/>
      <c r="C25" s="76" t="s">
        <v>28</v>
      </c>
      <c r="D25" s="138">
        <f>E25/$E$33</f>
        <v>1.6E-2</v>
      </c>
      <c r="E25" s="318">
        <f>_6</f>
        <v>65000</v>
      </c>
      <c r="F25" s="263"/>
      <c r="G25" s="263"/>
      <c r="H25" s="285">
        <v>0</v>
      </c>
      <c r="I25" s="379">
        <f>E25*H25</f>
        <v>0</v>
      </c>
      <c r="J25" s="34"/>
    </row>
    <row r="26" spans="1:10" ht="3.95" customHeight="1" x14ac:dyDescent="0.2">
      <c r="B26" s="13"/>
      <c r="D26" s="142"/>
      <c r="E26" s="34"/>
      <c r="F26" s="229"/>
      <c r="G26" s="229"/>
      <c r="H26" s="283"/>
      <c r="I26" s="376"/>
      <c r="J26" s="34"/>
    </row>
    <row r="27" spans="1:10" s="11" customFormat="1" ht="12.95" customHeight="1" x14ac:dyDescent="0.2">
      <c r="A27" s="645">
        <v>7</v>
      </c>
      <c r="B27" s="645"/>
      <c r="C27" s="76" t="s">
        <v>145</v>
      </c>
      <c r="D27" s="138">
        <f>E27/$E$33</f>
        <v>0.185</v>
      </c>
      <c r="E27" s="318">
        <f>_7</f>
        <v>750000</v>
      </c>
      <c r="F27" s="263"/>
      <c r="G27" s="263"/>
      <c r="H27" s="285">
        <v>0</v>
      </c>
      <c r="I27" s="375">
        <f>E27*H27</f>
        <v>0</v>
      </c>
      <c r="J27" s="34"/>
    </row>
    <row r="28" spans="1:10" ht="3.95" customHeight="1" x14ac:dyDescent="0.2">
      <c r="D28" s="142"/>
      <c r="E28" s="34"/>
      <c r="F28" s="229"/>
      <c r="G28" s="229"/>
      <c r="H28" s="283"/>
      <c r="I28" s="376"/>
      <c r="J28" s="34"/>
    </row>
    <row r="29" spans="1:10" s="11" customFormat="1" ht="12.95" customHeight="1" x14ac:dyDescent="0.2">
      <c r="A29" s="645">
        <v>8</v>
      </c>
      <c r="B29" s="645"/>
      <c r="C29" s="76" t="s">
        <v>30</v>
      </c>
      <c r="D29" s="138">
        <f>E29/$E$33</f>
        <v>1E-3</v>
      </c>
      <c r="E29" s="318">
        <f>_8</f>
        <v>3600</v>
      </c>
      <c r="F29" s="263"/>
      <c r="G29" s="263"/>
      <c r="H29" s="299">
        <v>0</v>
      </c>
      <c r="I29" s="375">
        <f>E29*H29</f>
        <v>0</v>
      </c>
      <c r="J29" s="34"/>
    </row>
    <row r="30" spans="1:10" ht="3.95" customHeight="1" x14ac:dyDescent="0.2">
      <c r="D30" s="142"/>
      <c r="E30" s="34"/>
      <c r="F30" s="229"/>
      <c r="G30" s="229"/>
      <c r="H30" s="295"/>
      <c r="I30" s="376"/>
      <c r="J30" s="158"/>
    </row>
    <row r="31" spans="1:10" s="11" customFormat="1" ht="12.95" customHeight="1" x14ac:dyDescent="0.2">
      <c r="A31" s="645">
        <v>9</v>
      </c>
      <c r="B31" s="645"/>
      <c r="C31" s="76" t="s">
        <v>31</v>
      </c>
      <c r="D31" s="138">
        <f>E31/$E$33</f>
        <v>5.5E-2</v>
      </c>
      <c r="E31" s="318">
        <f>_9</f>
        <v>225000</v>
      </c>
      <c r="F31" s="263"/>
      <c r="G31" s="263"/>
      <c r="H31" s="285">
        <v>0.1</v>
      </c>
      <c r="I31" s="321">
        <f>E31*H31</f>
        <v>22500</v>
      </c>
      <c r="J31" s="34"/>
    </row>
    <row r="32" spans="1:10" ht="9.9499999999999993" customHeight="1" x14ac:dyDescent="0.2">
      <c r="B32" s="13"/>
      <c r="D32" s="32"/>
      <c r="F32" s="110"/>
      <c r="G32" s="110"/>
      <c r="H32" s="110"/>
      <c r="I32" s="110"/>
      <c r="J32" s="1"/>
    </row>
    <row r="33" spans="1:10" ht="12.95" customHeight="1" x14ac:dyDescent="0.2">
      <c r="A33" s="113" t="s">
        <v>56</v>
      </c>
      <c r="B33" s="114"/>
      <c r="C33" s="114"/>
      <c r="D33" s="71">
        <f>SUM(D7:D31)</f>
        <v>1</v>
      </c>
      <c r="E33" s="320">
        <f>SUM(E7+E9+E11+E21+E23+E25+E27+E29+E31)</f>
        <v>4058600</v>
      </c>
      <c r="F33" s="612"/>
      <c r="G33" s="612"/>
      <c r="H33" s="246"/>
      <c r="I33" s="301">
        <f>SUM(I7:I31)</f>
        <v>1595400</v>
      </c>
      <c r="J33" s="22"/>
    </row>
    <row r="34" spans="1:10" ht="3.95" customHeight="1" x14ac:dyDescent="0.25">
      <c r="B34" s="265"/>
      <c r="D34" s="32"/>
      <c r="F34" s="110"/>
      <c r="G34" s="110"/>
      <c r="H34" s="214"/>
      <c r="I34" s="269"/>
      <c r="J34" s="1"/>
    </row>
    <row r="35" spans="1:10" s="10" customFormat="1" ht="12.95" customHeight="1" x14ac:dyDescent="0.2">
      <c r="A35" s="302"/>
      <c r="B35" s="75" t="s">
        <v>34</v>
      </c>
      <c r="C35" s="76"/>
      <c r="D35" s="138"/>
      <c r="E35" s="318">
        <f>_mvB</f>
        <v>120000</v>
      </c>
      <c r="F35" s="72"/>
      <c r="G35" s="72"/>
      <c r="H35" s="380">
        <v>1</v>
      </c>
      <c r="I35" s="375">
        <f>E35*H35</f>
        <v>120000</v>
      </c>
    </row>
    <row r="36" spans="1:10" ht="9.9499999999999993" customHeight="1" x14ac:dyDescent="0.2">
      <c r="D36" s="32"/>
    </row>
    <row r="37" spans="1:10" s="112" customFormat="1" ht="12.95" customHeight="1" x14ac:dyDescent="0.25">
      <c r="A37" s="198" t="s">
        <v>58</v>
      </c>
      <c r="B37" s="199"/>
      <c r="C37" s="199"/>
      <c r="D37" s="199"/>
      <c r="E37" s="199"/>
      <c r="F37" s="199"/>
      <c r="G37" s="199"/>
      <c r="H37" s="303"/>
      <c r="I37" s="304">
        <f>I33+I35</f>
        <v>1715400</v>
      </c>
      <c r="J37" s="115"/>
    </row>
    <row r="38" spans="1:10" ht="15" customHeight="1" x14ac:dyDescent="0.2">
      <c r="A38" s="163"/>
      <c r="B38" s="163"/>
      <c r="C38" s="163"/>
      <c r="D38" s="163"/>
      <c r="E38" s="163"/>
      <c r="F38" s="163"/>
      <c r="G38" s="163"/>
      <c r="I38" s="183"/>
    </row>
    <row r="39" spans="1:10" ht="12.75" customHeight="1" x14ac:dyDescent="0.2">
      <c r="A39" s="161" t="s">
        <v>174</v>
      </c>
      <c r="B39" s="161"/>
      <c r="C39" s="162"/>
      <c r="D39" s="162"/>
      <c r="E39" s="162"/>
      <c r="F39" s="162"/>
      <c r="G39" s="162"/>
      <c r="H39" s="161"/>
      <c r="I39" s="267"/>
      <c r="J39" s="164"/>
    </row>
    <row r="40" spans="1:10" ht="6.75" customHeight="1" x14ac:dyDescent="0.2">
      <c r="A40" s="163"/>
      <c r="B40" s="163"/>
      <c r="C40" s="163"/>
      <c r="D40" s="163"/>
      <c r="E40" s="163"/>
      <c r="F40" s="163"/>
      <c r="G40" s="163"/>
      <c r="I40" s="183"/>
    </row>
    <row r="41" spans="1:10" ht="12.75" customHeight="1" x14ac:dyDescent="0.2">
      <c r="A41" s="164" t="s">
        <v>106</v>
      </c>
      <c r="B41" s="163"/>
      <c r="C41" s="163"/>
      <c r="D41" s="163"/>
      <c r="E41" s="163"/>
      <c r="F41" s="163"/>
      <c r="G41" s="163"/>
      <c r="I41" s="183"/>
    </row>
    <row r="42" spans="1:10" ht="12.75" customHeight="1" x14ac:dyDescent="0.2">
      <c r="A42" s="18"/>
      <c r="B42" s="18"/>
      <c r="E42" s="165" t="s">
        <v>60</v>
      </c>
      <c r="F42" s="166" t="s">
        <v>61</v>
      </c>
      <c r="G42" s="166"/>
      <c r="H42" s="647" t="s">
        <v>243</v>
      </c>
      <c r="I42" s="647"/>
      <c r="J42" s="40"/>
    </row>
    <row r="43" spans="1:10" ht="12.75" customHeight="1" x14ac:dyDescent="0.2">
      <c r="B43" s="19" t="s">
        <v>63</v>
      </c>
      <c r="C43" s="35"/>
      <c r="D43" s="35"/>
      <c r="E43" s="118">
        <v>22</v>
      </c>
      <c r="F43" s="167" t="s">
        <v>175</v>
      </c>
      <c r="G43" s="166"/>
      <c r="H43" s="306"/>
      <c r="I43" s="307"/>
      <c r="J43" s="40"/>
    </row>
    <row r="44" spans="1:10" ht="12.75" customHeight="1" x14ac:dyDescent="0.2">
      <c r="B44" s="20" t="s">
        <v>65</v>
      </c>
      <c r="C44" s="36"/>
      <c r="D44" s="36"/>
      <c r="E44" s="119">
        <v>2</v>
      </c>
      <c r="F44" s="168" t="s">
        <v>66</v>
      </c>
      <c r="G44" s="166"/>
      <c r="H44" s="308"/>
      <c r="I44" s="309"/>
      <c r="J44" s="40"/>
    </row>
    <row r="45" spans="1:10" ht="12.75" customHeight="1" x14ac:dyDescent="0.2">
      <c r="B45" s="20" t="s">
        <v>67</v>
      </c>
      <c r="C45" s="36"/>
      <c r="D45" s="36"/>
      <c r="E45" s="119">
        <v>1</v>
      </c>
      <c r="F45" s="168" t="s">
        <v>66</v>
      </c>
      <c r="G45" s="166"/>
      <c r="H45" s="308"/>
      <c r="I45" s="309"/>
      <c r="J45" s="40"/>
    </row>
    <row r="46" spans="1:10" ht="12.75" customHeight="1" x14ac:dyDescent="0.2">
      <c r="B46" s="20" t="s">
        <v>68</v>
      </c>
      <c r="C46" s="36"/>
      <c r="D46" s="36"/>
      <c r="E46" s="119">
        <v>2</v>
      </c>
      <c r="F46" s="168" t="s">
        <v>66</v>
      </c>
      <c r="G46" s="166"/>
      <c r="H46" s="308"/>
      <c r="I46" s="309"/>
      <c r="J46" s="40"/>
    </row>
    <row r="47" spans="1:10" ht="4.5" customHeight="1" x14ac:dyDescent="0.2">
      <c r="A47" s="18"/>
      <c r="B47" s="18"/>
      <c r="E47" s="169"/>
      <c r="F47" s="169"/>
      <c r="G47" s="169"/>
      <c r="I47" s="245"/>
      <c r="J47" s="40"/>
    </row>
    <row r="48" spans="1:10" ht="12.75" customHeight="1" x14ac:dyDescent="0.25">
      <c r="B48" s="562"/>
      <c r="C48" s="350" t="s">
        <v>176</v>
      </c>
      <c r="D48" s="36"/>
      <c r="E48" s="119">
        <v>0</v>
      </c>
      <c r="F48" s="168" t="s">
        <v>177</v>
      </c>
      <c r="G48" s="166"/>
      <c r="H48" s="331"/>
      <c r="I48" s="332"/>
      <c r="J48" s="1"/>
    </row>
    <row r="49" spans="1:10" ht="12.75" customHeight="1" x14ac:dyDescent="0.25">
      <c r="B49" s="562"/>
      <c r="C49" s="350" t="s">
        <v>71</v>
      </c>
      <c r="D49" s="36"/>
      <c r="E49" s="119">
        <v>0</v>
      </c>
      <c r="F49" s="168" t="s">
        <v>177</v>
      </c>
      <c r="G49" s="166"/>
      <c r="H49" s="331"/>
      <c r="I49" s="332"/>
      <c r="J49" s="1"/>
    </row>
    <row r="50" spans="1:10" ht="12.75" customHeight="1" x14ac:dyDescent="0.25">
      <c r="B50" s="562"/>
      <c r="C50" s="350" t="s">
        <v>73</v>
      </c>
      <c r="D50" s="36"/>
      <c r="E50" s="119">
        <v>0</v>
      </c>
      <c r="F50" s="168" t="s">
        <v>72</v>
      </c>
      <c r="G50" s="166"/>
      <c r="H50" s="308"/>
      <c r="I50" s="333"/>
      <c r="J50" s="1"/>
    </row>
    <row r="51" spans="1:10" ht="12.75" customHeight="1" x14ac:dyDescent="0.25">
      <c r="B51" s="562"/>
      <c r="C51" s="350" t="s">
        <v>132</v>
      </c>
      <c r="D51" s="36"/>
      <c r="E51" s="119">
        <v>0</v>
      </c>
      <c r="F51" s="168" t="s">
        <v>70</v>
      </c>
      <c r="G51" s="166"/>
      <c r="H51" s="308"/>
      <c r="I51" s="333"/>
      <c r="J51" s="1"/>
    </row>
    <row r="52" spans="1:10" ht="4.5" customHeight="1" x14ac:dyDescent="0.2">
      <c r="A52" s="18"/>
      <c r="B52" s="18"/>
      <c r="C52" s="171"/>
      <c r="D52" s="171"/>
      <c r="E52" s="171"/>
      <c r="F52" s="171"/>
      <c r="G52" s="171"/>
      <c r="H52" s="351"/>
      <c r="I52" s="352"/>
      <c r="J52" s="1"/>
    </row>
    <row r="53" spans="1:10" ht="12.75" customHeight="1" x14ac:dyDescent="0.2">
      <c r="B53" s="18" t="s">
        <v>75</v>
      </c>
      <c r="C53" s="170"/>
      <c r="D53" s="171"/>
      <c r="E53" s="172">
        <f>SUM(E43:E51)</f>
        <v>27</v>
      </c>
      <c r="F53" s="171"/>
      <c r="G53" s="171"/>
      <c r="I53" s="245"/>
      <c r="J53" s="1"/>
    </row>
    <row r="54" spans="1:10" ht="12.95" customHeight="1" x14ac:dyDescent="0.2">
      <c r="B54" s="18"/>
      <c r="C54" s="171"/>
      <c r="D54" s="171"/>
      <c r="E54" s="171"/>
      <c r="F54" s="171"/>
      <c r="G54" s="171"/>
      <c r="I54" s="245"/>
      <c r="J54" s="1"/>
    </row>
    <row r="55" spans="1:10" ht="12.75" customHeight="1" x14ac:dyDescent="0.2">
      <c r="A55" s="164" t="s">
        <v>76</v>
      </c>
      <c r="B55" s="164"/>
      <c r="C55" s="163"/>
      <c r="D55" s="163"/>
      <c r="E55" s="163"/>
      <c r="F55" s="163"/>
      <c r="G55" s="163"/>
      <c r="H55" s="268"/>
      <c r="I55" s="1"/>
    </row>
    <row r="56" spans="1:10" ht="4.3499999999999996" customHeight="1" x14ac:dyDescent="0.2">
      <c r="A56" s="164"/>
      <c r="B56" s="164"/>
      <c r="C56" s="164"/>
      <c r="I56" s="1"/>
    </row>
    <row r="57" spans="1:10" ht="12.75" customHeight="1" x14ac:dyDescent="0.2">
      <c r="A57" s="173" t="s">
        <v>77</v>
      </c>
      <c r="B57" s="173"/>
      <c r="E57" s="200">
        <f>I37</f>
        <v>1715400</v>
      </c>
      <c r="I57" s="1"/>
    </row>
    <row r="58" spans="1:10" ht="4.3499999999999996" customHeight="1" x14ac:dyDescent="0.2">
      <c r="A58" s="18"/>
      <c r="B58" s="18"/>
      <c r="C58" s="18"/>
      <c r="D58" s="18"/>
      <c r="E58" s="170"/>
      <c r="H58" s="1"/>
      <c r="I58" s="1"/>
    </row>
    <row r="59" spans="1:10" ht="12.75" customHeight="1" x14ac:dyDescent="0.3">
      <c r="A59" s="23" t="s">
        <v>178</v>
      </c>
      <c r="B59" s="23"/>
      <c r="E59" s="353">
        <f>0.0425*E53+0.83</f>
        <v>1.98</v>
      </c>
      <c r="F59" s="608" t="str">
        <f>IF(I37&lt;100000,"! gemäß TW.9 (3): Ist die Bemessungsgrundlage niedriger als 100.000 €, sollte der Ermittlungsweg über Abschätzung des Büro- / Personalaufwandes gewählt werden","")</f>
        <v/>
      </c>
      <c r="G59" s="608"/>
      <c r="H59" s="608"/>
      <c r="I59" s="608"/>
    </row>
    <row r="60" spans="1:10" ht="4.3499999999999996" customHeight="1" x14ac:dyDescent="0.2">
      <c r="A60" s="18"/>
      <c r="B60" s="18"/>
      <c r="E60" s="28"/>
      <c r="F60" s="608"/>
      <c r="G60" s="608"/>
      <c r="H60" s="608"/>
      <c r="I60" s="608"/>
    </row>
    <row r="61" spans="1:10" s="110" customFormat="1" ht="18" customHeight="1" x14ac:dyDescent="0.2">
      <c r="A61" s="18" t="s">
        <v>179</v>
      </c>
      <c r="B61" s="18"/>
      <c r="E61" s="311">
        <f>ROUND(37.056*E57^(-0.1495)*E59/100,6)</f>
        <v>8.5800000000000001E-2</v>
      </c>
      <c r="F61" s="608"/>
      <c r="G61" s="608"/>
      <c r="H61" s="608"/>
      <c r="I61" s="608"/>
      <c r="J61" s="269"/>
    </row>
    <row r="62" spans="1:10" ht="15.75" customHeight="1" x14ac:dyDescent="0.2">
      <c r="A62" s="18" t="s">
        <v>248</v>
      </c>
      <c r="B62" s="18"/>
      <c r="C62" s="18"/>
      <c r="E62" s="626">
        <v>0</v>
      </c>
      <c r="H62" s="608"/>
      <c r="I62" s="608"/>
    </row>
    <row r="63" spans="1:10" ht="15" customHeight="1" x14ac:dyDescent="0.3">
      <c r="A63" s="21" t="s">
        <v>180</v>
      </c>
      <c r="B63" s="19"/>
      <c r="C63" s="175"/>
      <c r="D63" s="175"/>
      <c r="E63" s="176"/>
      <c r="F63" s="336">
        <f>ROUND(E57*E61*(1+E62),2)</f>
        <v>147181</v>
      </c>
      <c r="I63" s="1"/>
    </row>
    <row r="64" spans="1:10" ht="3" customHeight="1" x14ac:dyDescent="0.2">
      <c r="A64" s="23"/>
      <c r="B64" s="18"/>
      <c r="C64" s="163"/>
      <c r="D64" s="163"/>
      <c r="E64" s="177"/>
      <c r="F64" s="177"/>
      <c r="G64" s="177"/>
      <c r="I64" s="1"/>
    </row>
    <row r="65" spans="1:11" ht="12.95" customHeight="1" x14ac:dyDescent="0.2">
      <c r="A65" s="23"/>
      <c r="B65" s="18"/>
      <c r="C65" s="163"/>
      <c r="D65" s="355" t="s">
        <v>84</v>
      </c>
      <c r="E65" s="338" t="s">
        <v>60</v>
      </c>
      <c r="F65" s="177"/>
      <c r="G65" s="569"/>
      <c r="H65" s="165"/>
      <c r="I65" s="29"/>
    </row>
    <row r="66" spans="1:11" ht="12.75" customHeight="1" x14ac:dyDescent="0.2">
      <c r="A66" s="163" t="s">
        <v>139</v>
      </c>
      <c r="B66" s="163"/>
      <c r="D66" s="339">
        <v>0.02</v>
      </c>
      <c r="E66" s="224">
        <v>0.02</v>
      </c>
      <c r="F66" s="183">
        <f>$F$63*E66</f>
        <v>2944</v>
      </c>
      <c r="G66" s="314"/>
      <c r="H66" s="570"/>
      <c r="I66" s="183"/>
    </row>
    <row r="67" spans="1:11" ht="12.75" customHeight="1" x14ac:dyDescent="0.2">
      <c r="A67" s="163" t="s">
        <v>86</v>
      </c>
      <c r="B67" s="163"/>
      <c r="D67" s="339">
        <v>0.1</v>
      </c>
      <c r="E67" s="225">
        <v>0.1</v>
      </c>
      <c r="F67" s="183">
        <f t="shared" ref="F67:F75" si="1">$F$63*E67</f>
        <v>14718</v>
      </c>
      <c r="G67" s="315"/>
      <c r="H67" s="571"/>
      <c r="I67" s="183"/>
    </row>
    <row r="68" spans="1:11" ht="12.75" customHeight="1" x14ac:dyDescent="0.2">
      <c r="A68" s="163" t="s">
        <v>87</v>
      </c>
      <c r="B68" s="163"/>
      <c r="D68" s="339">
        <v>0.15</v>
      </c>
      <c r="E68" s="225">
        <v>0.15</v>
      </c>
      <c r="F68" s="183">
        <f t="shared" si="1"/>
        <v>22077</v>
      </c>
      <c r="G68" s="315"/>
      <c r="H68" s="571"/>
      <c r="I68" s="183"/>
    </row>
    <row r="69" spans="1:11" ht="12.75" customHeight="1" x14ac:dyDescent="0.2">
      <c r="A69" s="163" t="s">
        <v>88</v>
      </c>
      <c r="B69" s="163"/>
      <c r="D69" s="339">
        <v>0.25</v>
      </c>
      <c r="E69" s="225">
        <v>0.25</v>
      </c>
      <c r="F69" s="183">
        <f t="shared" si="1"/>
        <v>36795</v>
      </c>
      <c r="G69" s="315"/>
      <c r="H69" s="571"/>
      <c r="I69" s="183"/>
    </row>
    <row r="70" spans="1:11" ht="12.75" customHeight="1" x14ac:dyDescent="0.2">
      <c r="A70" s="163" t="s">
        <v>181</v>
      </c>
      <c r="B70" s="163"/>
      <c r="D70" s="339">
        <v>0.32</v>
      </c>
      <c r="E70" s="225">
        <v>0.32</v>
      </c>
      <c r="F70" s="183">
        <f t="shared" si="1"/>
        <v>47098</v>
      </c>
      <c r="G70" s="315"/>
      <c r="H70" s="571"/>
      <c r="I70" s="183"/>
    </row>
    <row r="71" spans="1:11" ht="12.75" customHeight="1" x14ac:dyDescent="0.2">
      <c r="A71" s="163" t="s">
        <v>182</v>
      </c>
      <c r="B71" s="163"/>
      <c r="D71" s="339">
        <v>0.02</v>
      </c>
      <c r="E71" s="225">
        <v>0.02</v>
      </c>
      <c r="F71" s="183">
        <f t="shared" si="1"/>
        <v>2944</v>
      </c>
      <c r="G71" s="314"/>
      <c r="H71" s="570"/>
      <c r="I71" s="183"/>
    </row>
    <row r="72" spans="1:11" ht="12.75" customHeight="1" x14ac:dyDescent="0.2">
      <c r="A72" s="163" t="s">
        <v>91</v>
      </c>
      <c r="B72" s="163"/>
      <c r="D72" s="339">
        <v>0</v>
      </c>
      <c r="E72" s="225">
        <v>0</v>
      </c>
      <c r="F72" s="183">
        <f t="shared" si="1"/>
        <v>0</v>
      </c>
      <c r="G72" s="315"/>
      <c r="H72" s="571"/>
      <c r="I72" s="183"/>
    </row>
    <row r="73" spans="1:11" ht="12.75" customHeight="1" x14ac:dyDescent="0.2">
      <c r="A73" s="163" t="s">
        <v>183</v>
      </c>
      <c r="B73" s="163"/>
      <c r="D73" s="339">
        <v>0.05</v>
      </c>
      <c r="E73" s="225">
        <v>0.05</v>
      </c>
      <c r="F73" s="183">
        <f t="shared" si="1"/>
        <v>7359</v>
      </c>
      <c r="G73" s="315"/>
      <c r="H73" s="571"/>
      <c r="I73" s="183"/>
    </row>
    <row r="74" spans="1:11" ht="12.75" customHeight="1" x14ac:dyDescent="0.2">
      <c r="A74" s="163" t="s">
        <v>184</v>
      </c>
      <c r="B74" s="163"/>
      <c r="D74" s="339">
        <v>0.09</v>
      </c>
      <c r="E74" s="225">
        <v>0.09</v>
      </c>
      <c r="F74" s="183">
        <f t="shared" si="1"/>
        <v>13246</v>
      </c>
      <c r="G74" s="315"/>
      <c r="H74" s="571"/>
      <c r="I74" s="183"/>
    </row>
    <row r="75" spans="1:11" ht="12.75" customHeight="1" x14ac:dyDescent="0.2">
      <c r="A75" s="175" t="s">
        <v>185</v>
      </c>
      <c r="B75" s="175"/>
      <c r="C75" s="35"/>
      <c r="D75" s="340">
        <v>0</v>
      </c>
      <c r="E75" s="226">
        <v>0</v>
      </c>
      <c r="F75" s="184">
        <f t="shared" si="1"/>
        <v>0</v>
      </c>
      <c r="G75" s="316"/>
      <c r="H75" s="572"/>
      <c r="I75" s="184"/>
    </row>
    <row r="76" spans="1:11" s="16" customFormat="1" ht="18.600000000000001" customHeight="1" x14ac:dyDescent="0.25">
      <c r="A76" s="381" t="s">
        <v>116</v>
      </c>
      <c r="B76" s="382"/>
      <c r="D76" s="627">
        <f>SUM(D66:D75)</f>
        <v>1</v>
      </c>
      <c r="E76" s="383">
        <f>SUM(E66:E75)</f>
        <v>1</v>
      </c>
      <c r="F76" s="372">
        <f>SUM(F66:F75)</f>
        <v>147181</v>
      </c>
      <c r="G76" s="372"/>
      <c r="H76" s="383"/>
      <c r="I76" s="372"/>
      <c r="J76" s="384"/>
    </row>
    <row r="77" spans="1:11" ht="12.75" customHeight="1" x14ac:dyDescent="0.2">
      <c r="A77" s="253" t="s">
        <v>235</v>
      </c>
      <c r="B77" s="178"/>
      <c r="D77" s="631">
        <v>0.01</v>
      </c>
      <c r="E77" s="224">
        <v>0</v>
      </c>
      <c r="F77" s="183">
        <f>$F$63*E77</f>
        <v>0</v>
      </c>
      <c r="G77" s="179"/>
      <c r="H77" s="183"/>
      <c r="I77" s="91"/>
      <c r="J77" s="1"/>
    </row>
    <row r="78" spans="1:11" ht="12.75" customHeight="1" x14ac:dyDescent="0.2">
      <c r="A78" s="551" t="s">
        <v>259</v>
      </c>
      <c r="B78" s="180"/>
      <c r="C78" s="35"/>
      <c r="D78" s="373">
        <v>0.02</v>
      </c>
      <c r="E78" s="374">
        <v>0</v>
      </c>
      <c r="F78" s="184">
        <f>$F$63*E78</f>
        <v>0</v>
      </c>
      <c r="G78" s="604"/>
      <c r="H78" s="184"/>
      <c r="I78" s="606"/>
      <c r="J78" s="1"/>
    </row>
    <row r="79" spans="1:11" ht="12.75" customHeight="1" x14ac:dyDescent="0.2">
      <c r="A79" s="649" t="s">
        <v>252</v>
      </c>
      <c r="B79" s="649"/>
      <c r="C79" s="649"/>
      <c r="D79" s="632">
        <f>SUM(D76:D78)</f>
        <v>1.03</v>
      </c>
      <c r="E79" s="179">
        <f>E76+E78</f>
        <v>1</v>
      </c>
      <c r="F79" s="372">
        <f>SUM(F76:F78)</f>
        <v>147181</v>
      </c>
      <c r="H79" s="179"/>
      <c r="I79" s="99">
        <f>F79</f>
        <v>147181</v>
      </c>
      <c r="J79" s="1"/>
      <c r="K79" s="9"/>
    </row>
    <row r="80" spans="1:11" ht="12.75" customHeight="1" x14ac:dyDescent="0.2">
      <c r="A80" s="181"/>
      <c r="B80" s="18"/>
      <c r="D80" s="179"/>
      <c r="E80" s="179"/>
      <c r="F80" s="185"/>
      <c r="G80" s="8"/>
      <c r="I80" s="317"/>
      <c r="J80" s="1"/>
    </row>
    <row r="81" spans="1:13" ht="12.75" customHeight="1" x14ac:dyDescent="0.25">
      <c r="A81" s="33" t="s">
        <v>98</v>
      </c>
      <c r="E81" s="356">
        <v>0</v>
      </c>
      <c r="F81" s="231">
        <v>0</v>
      </c>
      <c r="G81" s="581"/>
      <c r="I81" s="91">
        <f>E81*F81</f>
        <v>0</v>
      </c>
      <c r="K81"/>
      <c r="L81"/>
      <c r="M81"/>
    </row>
    <row r="82" spans="1:13" ht="4.3499999999999996" customHeight="1" x14ac:dyDescent="0.25">
      <c r="E82" s="32"/>
      <c r="I82"/>
    </row>
    <row r="83" spans="1:13" s="23" customFormat="1" ht="12.75" customHeight="1" x14ac:dyDescent="0.2">
      <c r="A83" s="94" t="s">
        <v>186</v>
      </c>
      <c r="B83" s="95"/>
      <c r="C83" s="96"/>
      <c r="D83" s="98"/>
      <c r="E83" s="228"/>
      <c r="F83" s="97"/>
      <c r="G83" s="97"/>
      <c r="H83" s="97"/>
      <c r="I83" s="99">
        <f>I79+I81</f>
        <v>147181</v>
      </c>
    </row>
    <row r="84" spans="1:13" s="23" customFormat="1" ht="4.5" customHeight="1" x14ac:dyDescent="0.2">
      <c r="B84" s="24"/>
      <c r="C84" s="25"/>
      <c r="D84" s="47"/>
      <c r="E84" s="219"/>
      <c r="F84" s="48"/>
      <c r="G84" s="48"/>
      <c r="I84" s="91"/>
    </row>
    <row r="85" spans="1:13" s="23" customFormat="1" ht="12.75" customHeight="1" x14ac:dyDescent="0.2">
      <c r="A85" s="49" t="s">
        <v>40</v>
      </c>
      <c r="B85" s="24"/>
      <c r="C85" s="25"/>
      <c r="D85" s="47"/>
      <c r="E85" s="220">
        <v>0.04</v>
      </c>
      <c r="F85" s="48"/>
      <c r="G85" s="48"/>
      <c r="I85" s="91">
        <f>ROUND(I83*E85,2)</f>
        <v>5887</v>
      </c>
    </row>
    <row r="86" spans="1:13" s="23" customFormat="1" ht="3" customHeight="1" x14ac:dyDescent="0.2">
      <c r="A86" s="50"/>
      <c r="B86" s="51"/>
      <c r="C86" s="52"/>
      <c r="D86" s="56"/>
      <c r="E86" s="221"/>
      <c r="F86" s="57"/>
      <c r="G86" s="57"/>
      <c r="H86" s="50"/>
      <c r="I86" s="93"/>
    </row>
    <row r="87" spans="1:13" s="23" customFormat="1" ht="3" customHeight="1" x14ac:dyDescent="0.2">
      <c r="B87" s="24"/>
      <c r="C87" s="25"/>
      <c r="D87" s="58"/>
      <c r="E87" s="222"/>
      <c r="F87" s="65"/>
      <c r="G87" s="65"/>
      <c r="H87" s="59"/>
      <c r="I87" s="91"/>
    </row>
    <row r="88" spans="1:13" s="23" customFormat="1" ht="12.75" customHeight="1" x14ac:dyDescent="0.2">
      <c r="A88" s="53" t="s">
        <v>187</v>
      </c>
      <c r="B88" s="54"/>
      <c r="C88" s="55"/>
      <c r="D88" s="26"/>
      <c r="E88" s="219"/>
      <c r="F88" s="48"/>
      <c r="G88" s="48"/>
      <c r="I88" s="92">
        <f>I83+I85</f>
        <v>153068</v>
      </c>
    </row>
    <row r="89" spans="1:13" s="23" customFormat="1" ht="12.75" customHeight="1" x14ac:dyDescent="0.2">
      <c r="A89" s="23" t="s">
        <v>48</v>
      </c>
      <c r="B89" s="24"/>
      <c r="C89" s="25"/>
      <c r="D89" s="26"/>
      <c r="E89" s="27">
        <v>0.2</v>
      </c>
      <c r="F89" s="27"/>
      <c r="G89" s="27"/>
      <c r="I89" s="91">
        <f>ROUND(I88*E89,2)</f>
        <v>30614</v>
      </c>
    </row>
    <row r="90" spans="1:13" s="23" customFormat="1" ht="3" customHeight="1" x14ac:dyDescent="0.2">
      <c r="B90" s="24"/>
      <c r="C90" s="25"/>
      <c r="D90" s="26"/>
      <c r="E90" s="48"/>
      <c r="F90" s="48"/>
      <c r="G90" s="48"/>
      <c r="I90" s="91"/>
    </row>
    <row r="91" spans="1:13" s="23" customFormat="1" ht="12.75" customHeight="1" x14ac:dyDescent="0.2">
      <c r="A91" s="191" t="s">
        <v>188</v>
      </c>
      <c r="B91" s="201"/>
      <c r="C91" s="192"/>
      <c r="D91" s="194"/>
      <c r="E91" s="195"/>
      <c r="F91" s="195"/>
      <c r="G91" s="195"/>
      <c r="H91" s="193"/>
      <c r="I91" s="196">
        <f>SUM(I87:I89)</f>
        <v>183682</v>
      </c>
    </row>
    <row r="92" spans="1:13" ht="5.0999999999999996" customHeight="1" x14ac:dyDescent="0.2"/>
    <row r="93" spans="1:13" ht="15" customHeight="1" x14ac:dyDescent="0.2">
      <c r="A93" s="203" t="s">
        <v>120</v>
      </c>
      <c r="B93" s="204"/>
      <c r="C93" s="203"/>
      <c r="D93" s="203"/>
      <c r="E93" s="270">
        <f>I88/E33</f>
        <v>3.7713999999999998E-2</v>
      </c>
    </row>
  </sheetData>
  <sheetProtection algorithmName="SHA-512" hashValue="5CZ3XRE1kCmEk7BLd4Fe0zqZj5y/fJ//OH8OjXh03R/jXMdh/kexS/lMNF3GZQAUm/LCzZ0Y+3F+m8nws5/rmA==" saltValue="MpHd8zD7Sx/dim9G/6hETw==" spinCount="100000" sheet="1" objects="1" scenarios="1"/>
  <mergeCells count="12">
    <mergeCell ref="A79:C79"/>
    <mergeCell ref="A23:B23"/>
    <mergeCell ref="H2:I2"/>
    <mergeCell ref="A7:B7"/>
    <mergeCell ref="A9:B9"/>
    <mergeCell ref="A11:B11"/>
    <mergeCell ref="A21:B21"/>
    <mergeCell ref="A25:B25"/>
    <mergeCell ref="A27:B27"/>
    <mergeCell ref="A29:B29"/>
    <mergeCell ref="A31:B31"/>
    <mergeCell ref="H42:I42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Scroll Bar 6">
              <controlPr defaultSize="0" autoPict="0">
                <anchor moveWithCells="1">
                  <from>
                    <xdr:col>7</xdr:col>
                    <xdr:colOff>28575</xdr:colOff>
                    <xdr:row>49</xdr:row>
                    <xdr:rowOff>28575</xdr:rowOff>
                  </from>
                  <to>
                    <xdr:col>8</xdr:col>
                    <xdr:colOff>1028700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28575</xdr:rowOff>
                  </from>
                  <to>
                    <xdr:col>8</xdr:col>
                    <xdr:colOff>1028700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Scroll Bar 8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B4FD-A3C8-495A-BD02-13459D5F2721}">
  <sheetPr>
    <tabColor theme="6"/>
  </sheetPr>
  <dimension ref="A1:N91"/>
  <sheetViews>
    <sheetView showGridLines="0" topLeftCell="A29" zoomScale="175" zoomScaleNormal="175" zoomScaleSheetLayoutView="100" zoomScalePageLayoutView="85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s="37" customFormat="1" ht="35.1" customHeight="1" x14ac:dyDescent="0.2">
      <c r="A1" s="107" t="s">
        <v>51</v>
      </c>
      <c r="C1" s="7"/>
      <c r="F1" s="38"/>
      <c r="H1" s="644" t="s">
        <v>253</v>
      </c>
      <c r="I1" s="644"/>
      <c r="K1" s="43"/>
    </row>
    <row r="2" spans="1:11" s="10" customFormat="1" ht="6" customHeight="1" x14ac:dyDescent="0.25">
      <c r="A2" s="73"/>
      <c r="B2" s="73"/>
      <c r="C2" s="73"/>
      <c r="D2" s="73"/>
      <c r="E2" s="73"/>
      <c r="F2" s="73"/>
      <c r="G2" s="73"/>
      <c r="H2" s="74"/>
      <c r="I2" s="74"/>
      <c r="K2" s="2"/>
    </row>
    <row r="3" spans="1:11" s="10" customFormat="1" ht="6" customHeight="1" x14ac:dyDescent="0.25">
      <c r="I3" s="2"/>
      <c r="K3" s="2"/>
    </row>
    <row r="4" spans="1:11" s="10" customFormat="1" ht="12.95" customHeight="1" x14ac:dyDescent="0.25">
      <c r="D4" s="69" t="s">
        <v>2</v>
      </c>
      <c r="E4" s="30" t="s">
        <v>3</v>
      </c>
      <c r="F4" s="30"/>
      <c r="G4" s="30"/>
      <c r="H4" s="12" t="s">
        <v>52</v>
      </c>
      <c r="I4" s="89" t="s">
        <v>53</v>
      </c>
      <c r="K4" s="30"/>
    </row>
    <row r="5" spans="1:11" s="10" customFormat="1" ht="6" customHeight="1" x14ac:dyDescent="0.25">
      <c r="E5" s="67"/>
      <c r="I5" s="2"/>
      <c r="K5" s="2"/>
    </row>
    <row r="6" spans="1:11" s="11" customFormat="1" ht="12.95" customHeight="1" x14ac:dyDescent="0.2">
      <c r="A6" s="645">
        <v>1</v>
      </c>
      <c r="B6" s="645"/>
      <c r="C6" s="76" t="s">
        <v>4</v>
      </c>
      <c r="D6" s="138">
        <f>E6/$E$32</f>
        <v>2E-3</v>
      </c>
      <c r="E6" s="153">
        <f>_1</f>
        <v>10000</v>
      </c>
      <c r="F6" s="72"/>
      <c r="G6" s="72"/>
      <c r="H6" s="104">
        <v>0</v>
      </c>
      <c r="I6" s="153">
        <f>E6*H6</f>
        <v>0</v>
      </c>
      <c r="K6" s="34"/>
    </row>
    <row r="7" spans="1:11" ht="6.95" customHeight="1" x14ac:dyDescent="0.2">
      <c r="B7" s="4"/>
      <c r="C7" s="1"/>
      <c r="D7" s="139"/>
      <c r="E7" s="127"/>
      <c r="H7" s="88"/>
      <c r="I7" s="127"/>
      <c r="K7" s="44"/>
    </row>
    <row r="8" spans="1:11" s="11" customFormat="1" ht="12.95" customHeight="1" x14ac:dyDescent="0.2">
      <c r="A8" s="645">
        <v>2</v>
      </c>
      <c r="B8" s="645"/>
      <c r="C8" s="76" t="s">
        <v>5</v>
      </c>
      <c r="D8" s="138">
        <f>E8/$E$32</f>
        <v>0.37</v>
      </c>
      <c r="E8" s="153">
        <f>_2</f>
        <v>1500000</v>
      </c>
      <c r="F8" s="72"/>
      <c r="G8" s="72"/>
      <c r="H8" s="105">
        <v>1</v>
      </c>
      <c r="I8" s="153">
        <f>E8*H8</f>
        <v>1500000</v>
      </c>
      <c r="K8" s="34"/>
    </row>
    <row r="9" spans="1:11" ht="6.95" customHeight="1" x14ac:dyDescent="0.2">
      <c r="C9" s="1"/>
      <c r="D9" s="139"/>
      <c r="E9" s="505"/>
      <c r="H9" s="88"/>
      <c r="I9" s="126"/>
      <c r="K9" s="34"/>
    </row>
    <row r="10" spans="1:11" s="10" customFormat="1" ht="12.75" customHeight="1" x14ac:dyDescent="0.2">
      <c r="A10" s="645">
        <v>3</v>
      </c>
      <c r="B10" s="645"/>
      <c r="C10" s="76" t="s">
        <v>6</v>
      </c>
      <c r="D10" s="138">
        <f>E10/$E$32</f>
        <v>0.14899999999999999</v>
      </c>
      <c r="E10" s="154">
        <f>_3</f>
        <v>605000</v>
      </c>
      <c r="F10" s="72"/>
      <c r="G10" s="72"/>
      <c r="H10" s="88"/>
      <c r="I10" s="126"/>
      <c r="K10" s="34"/>
    </row>
    <row r="11" spans="1:11" ht="12.95" customHeight="1" x14ac:dyDescent="0.2">
      <c r="A11" s="348">
        <v>3</v>
      </c>
      <c r="B11" s="559" t="s">
        <v>7</v>
      </c>
      <c r="C11" s="80" t="s">
        <v>8</v>
      </c>
      <c r="D11" s="140"/>
      <c r="E11" s="150">
        <f>_3.01</f>
        <v>120000</v>
      </c>
      <c r="F11" s="72"/>
      <c r="G11" s="72"/>
      <c r="H11" s="105">
        <v>1</v>
      </c>
      <c r="I11" s="155">
        <f t="shared" ref="I11:I18" si="0">E11*H11</f>
        <v>120000</v>
      </c>
      <c r="K11" s="34"/>
    </row>
    <row r="12" spans="1:11" ht="12.95" customHeight="1" x14ac:dyDescent="0.2">
      <c r="A12" s="348">
        <v>3</v>
      </c>
      <c r="B12" s="559" t="s">
        <v>9</v>
      </c>
      <c r="C12" s="84" t="s">
        <v>10</v>
      </c>
      <c r="D12" s="141"/>
      <c r="E12" s="151">
        <f>_3.02</f>
        <v>130000</v>
      </c>
      <c r="F12" s="72"/>
      <c r="G12" s="72"/>
      <c r="H12" s="105">
        <v>1</v>
      </c>
      <c r="I12" s="209">
        <f t="shared" si="0"/>
        <v>130000</v>
      </c>
      <c r="K12" s="34"/>
    </row>
    <row r="13" spans="1:11" ht="12.95" customHeight="1" x14ac:dyDescent="0.2">
      <c r="A13" s="348">
        <v>3</v>
      </c>
      <c r="B13" s="559" t="s">
        <v>11</v>
      </c>
      <c r="C13" s="84" t="s">
        <v>12</v>
      </c>
      <c r="D13" s="141"/>
      <c r="E13" s="152">
        <f>_3.03</f>
        <v>130000</v>
      </c>
      <c r="F13" s="72"/>
      <c r="G13" s="72"/>
      <c r="H13" s="105">
        <v>1</v>
      </c>
      <c r="I13" s="209">
        <f t="shared" si="0"/>
        <v>130000</v>
      </c>
      <c r="K13" s="34"/>
    </row>
    <row r="14" spans="1:11" ht="12.95" customHeight="1" x14ac:dyDescent="0.2">
      <c r="A14" s="348">
        <v>3</v>
      </c>
      <c r="B14" s="559" t="s">
        <v>13</v>
      </c>
      <c r="C14" s="84" t="s">
        <v>14</v>
      </c>
      <c r="D14" s="141"/>
      <c r="E14" s="152">
        <f>_3.04</f>
        <v>140000</v>
      </c>
      <c r="F14" s="72"/>
      <c r="G14" s="72"/>
      <c r="H14" s="105">
        <v>1</v>
      </c>
      <c r="I14" s="209">
        <f t="shared" si="0"/>
        <v>140000</v>
      </c>
      <c r="K14" s="34"/>
    </row>
    <row r="15" spans="1:11" ht="12.95" customHeight="1" x14ac:dyDescent="0.2">
      <c r="A15" s="348">
        <v>3</v>
      </c>
      <c r="B15" s="559" t="s">
        <v>15</v>
      </c>
      <c r="C15" s="84" t="s">
        <v>16</v>
      </c>
      <c r="D15" s="141"/>
      <c r="E15" s="152">
        <f>_3.05</f>
        <v>65000</v>
      </c>
      <c r="F15" s="72"/>
      <c r="G15" s="72"/>
      <c r="H15" s="105">
        <v>1</v>
      </c>
      <c r="I15" s="209">
        <f t="shared" si="0"/>
        <v>65000</v>
      </c>
      <c r="K15" s="34"/>
    </row>
    <row r="16" spans="1:11" ht="12.95" customHeight="1" x14ac:dyDescent="0.2">
      <c r="A16" s="348">
        <v>3</v>
      </c>
      <c r="B16" s="559" t="s">
        <v>17</v>
      </c>
      <c r="C16" s="84" t="s">
        <v>18</v>
      </c>
      <c r="D16" s="141"/>
      <c r="E16" s="152">
        <f>_3.06</f>
        <v>20000</v>
      </c>
      <c r="F16" s="72"/>
      <c r="G16" s="72"/>
      <c r="H16" s="105">
        <v>1</v>
      </c>
      <c r="I16" s="209">
        <f t="shared" si="0"/>
        <v>20000</v>
      </c>
      <c r="K16" s="34"/>
    </row>
    <row r="17" spans="1:11" ht="12.95" customHeight="1" x14ac:dyDescent="0.2">
      <c r="A17" s="348">
        <v>3</v>
      </c>
      <c r="B17" s="559" t="s">
        <v>19</v>
      </c>
      <c r="C17" s="84" t="s">
        <v>20</v>
      </c>
      <c r="D17" s="141"/>
      <c r="E17" s="152">
        <f>_3.07</f>
        <v>0</v>
      </c>
      <c r="F17" s="72"/>
      <c r="G17" s="72"/>
      <c r="H17" s="105">
        <v>0</v>
      </c>
      <c r="I17" s="209">
        <f t="shared" si="0"/>
        <v>0</v>
      </c>
      <c r="K17" s="34"/>
    </row>
    <row r="18" spans="1:11" ht="12.95" customHeight="1" x14ac:dyDescent="0.2">
      <c r="A18" s="348">
        <v>3</v>
      </c>
      <c r="B18" s="559" t="s">
        <v>21</v>
      </c>
      <c r="C18" s="84" t="s">
        <v>22</v>
      </c>
      <c r="D18" s="141"/>
      <c r="E18" s="152">
        <f>_3.08</f>
        <v>0</v>
      </c>
      <c r="F18" s="72"/>
      <c r="G18" s="72"/>
      <c r="H18" s="105">
        <v>1</v>
      </c>
      <c r="I18" s="210">
        <f t="shared" si="0"/>
        <v>0</v>
      </c>
      <c r="K18" s="34"/>
    </row>
    <row r="19" spans="1:11" ht="6.95" customHeight="1" x14ac:dyDescent="0.2">
      <c r="A19" s="404"/>
      <c r="C19" s="1"/>
      <c r="D19" s="139"/>
      <c r="E19" s="126"/>
      <c r="H19" s="106"/>
      <c r="I19" s="126"/>
      <c r="K19" s="158"/>
    </row>
    <row r="20" spans="1:11" s="10" customFormat="1" ht="12.75" customHeight="1" x14ac:dyDescent="0.2">
      <c r="A20" s="645">
        <v>4</v>
      </c>
      <c r="B20" s="645"/>
      <c r="C20" s="76" t="s">
        <v>23</v>
      </c>
      <c r="D20" s="138">
        <f>E20/$E$32</f>
        <v>0.19700000000000001</v>
      </c>
      <c r="E20" s="153">
        <f>_4</f>
        <v>800000</v>
      </c>
      <c r="F20" s="72"/>
      <c r="G20" s="72"/>
      <c r="H20" s="105">
        <v>1</v>
      </c>
      <c r="I20" s="153">
        <f>E20*H20</f>
        <v>800000</v>
      </c>
      <c r="K20" s="34"/>
    </row>
    <row r="21" spans="1:11" ht="6.95" customHeight="1" x14ac:dyDescent="0.2">
      <c r="B21" s="4"/>
      <c r="C21" s="1"/>
      <c r="D21" s="139"/>
      <c r="E21" s="126"/>
      <c r="H21" s="88"/>
      <c r="I21" s="126"/>
      <c r="K21" s="33"/>
    </row>
    <row r="22" spans="1:11" s="11" customFormat="1" ht="12.95" customHeight="1" x14ac:dyDescent="0.2">
      <c r="A22" s="645">
        <v>5</v>
      </c>
      <c r="B22" s="645"/>
      <c r="C22" s="76" t="s">
        <v>24</v>
      </c>
      <c r="D22" s="138">
        <f>E22/$E$32</f>
        <v>2.5000000000000001E-2</v>
      </c>
      <c r="E22" s="155">
        <f>_5</f>
        <v>100000</v>
      </c>
      <c r="F22" s="72"/>
      <c r="G22" s="72"/>
      <c r="H22" s="105">
        <v>0</v>
      </c>
      <c r="I22" s="153">
        <f>E22*H22</f>
        <v>0</v>
      </c>
      <c r="K22" s="34"/>
    </row>
    <row r="23" spans="1:11" ht="6.95" customHeight="1" x14ac:dyDescent="0.2">
      <c r="D23" s="139"/>
      <c r="E23" s="126"/>
      <c r="H23" s="88"/>
      <c r="I23" s="126"/>
      <c r="K23" s="34"/>
    </row>
    <row r="24" spans="1:11" s="10" customFormat="1" ht="12.95" customHeight="1" x14ac:dyDescent="0.2">
      <c r="A24" s="645">
        <v>6</v>
      </c>
      <c r="B24" s="645"/>
      <c r="C24" s="76" t="s">
        <v>28</v>
      </c>
      <c r="D24" s="138">
        <f>E24/$E$32</f>
        <v>1.6E-2</v>
      </c>
      <c r="E24" s="153">
        <f>_6</f>
        <v>65000</v>
      </c>
      <c r="F24" s="72"/>
      <c r="G24" s="72"/>
      <c r="H24" s="105">
        <v>0</v>
      </c>
      <c r="I24" s="153">
        <f>E24*H24</f>
        <v>0</v>
      </c>
      <c r="K24" s="34"/>
    </row>
    <row r="25" spans="1:11" ht="6.95" customHeight="1" x14ac:dyDescent="0.2">
      <c r="B25" s="13"/>
      <c r="C25" s="1"/>
      <c r="D25" s="142"/>
      <c r="E25" s="126"/>
      <c r="H25" s="88"/>
      <c r="I25" s="126"/>
      <c r="K25" s="34"/>
    </row>
    <row r="26" spans="1:11" s="11" customFormat="1" ht="12.95" customHeight="1" x14ac:dyDescent="0.2">
      <c r="A26" s="645">
        <v>7</v>
      </c>
      <c r="B26" s="645"/>
      <c r="C26" s="76" t="s">
        <v>145</v>
      </c>
      <c r="D26" s="138">
        <f>E26/$E$32</f>
        <v>0.185</v>
      </c>
      <c r="E26" s="153">
        <f>_7</f>
        <v>750000</v>
      </c>
      <c r="F26" s="72"/>
      <c r="G26" s="72"/>
      <c r="H26" s="105">
        <v>0</v>
      </c>
      <c r="I26" s="153">
        <f>E26*H26</f>
        <v>0</v>
      </c>
      <c r="K26" s="34"/>
    </row>
    <row r="27" spans="1:11" ht="6.95" customHeight="1" x14ac:dyDescent="0.2">
      <c r="C27" s="1"/>
      <c r="D27" s="142"/>
      <c r="E27" s="126"/>
      <c r="H27" s="88"/>
      <c r="I27" s="126"/>
      <c r="K27" s="34"/>
    </row>
    <row r="28" spans="1:11" s="11" customFormat="1" ht="12.95" customHeight="1" x14ac:dyDescent="0.2">
      <c r="A28" s="645">
        <v>8</v>
      </c>
      <c r="B28" s="645"/>
      <c r="C28" s="76" t="s">
        <v>189</v>
      </c>
      <c r="D28" s="138">
        <f>E28/$E$32</f>
        <v>1E-3</v>
      </c>
      <c r="E28" s="153">
        <f>_8</f>
        <v>3600</v>
      </c>
      <c r="F28" s="72"/>
      <c r="G28" s="72"/>
      <c r="H28" s="105">
        <v>0</v>
      </c>
      <c r="I28" s="153">
        <f>E28*H28</f>
        <v>0</v>
      </c>
      <c r="K28" s="34"/>
    </row>
    <row r="29" spans="1:11" ht="6.95" customHeight="1" x14ac:dyDescent="0.2">
      <c r="C29" s="1"/>
      <c r="D29" s="142"/>
      <c r="E29" s="126"/>
      <c r="H29" s="106"/>
      <c r="I29" s="126"/>
      <c r="K29" s="158"/>
    </row>
    <row r="30" spans="1:11" s="11" customFormat="1" ht="12.95" customHeight="1" x14ac:dyDescent="0.2">
      <c r="A30" s="645">
        <v>9</v>
      </c>
      <c r="B30" s="645"/>
      <c r="C30" s="76" t="s">
        <v>31</v>
      </c>
      <c r="D30" s="138">
        <f>E30/$E$32</f>
        <v>5.5E-2</v>
      </c>
      <c r="E30" s="153">
        <f>_9</f>
        <v>225000</v>
      </c>
      <c r="F30" s="72"/>
      <c r="G30" s="72"/>
      <c r="H30" s="105">
        <v>0.1</v>
      </c>
      <c r="I30" s="153">
        <f>E30*H30</f>
        <v>22500</v>
      </c>
      <c r="K30" s="34"/>
    </row>
    <row r="31" spans="1:11" ht="12" customHeight="1" x14ac:dyDescent="0.2">
      <c r="B31" s="13"/>
      <c r="C31" s="5"/>
      <c r="D31" s="32"/>
      <c r="H31" s="108"/>
      <c r="I31" s="1"/>
      <c r="K31" s="1"/>
    </row>
    <row r="32" spans="1:11" ht="12.95" customHeight="1" x14ac:dyDescent="0.25">
      <c r="A32" s="113" t="s">
        <v>56</v>
      </c>
      <c r="B32" s="114"/>
      <c r="C32" s="114"/>
      <c r="D32" s="116">
        <f>SUM(D6:D30)</f>
        <v>1</v>
      </c>
      <c r="E32" s="90">
        <f>_EK</f>
        <v>4058600</v>
      </c>
      <c r="F32" s="64"/>
      <c r="G32" s="64"/>
      <c r="H32" s="182"/>
      <c r="I32" s="22"/>
      <c r="K32" s="22"/>
    </row>
    <row r="33" spans="1:13" ht="6" customHeight="1" x14ac:dyDescent="0.25">
      <c r="B33" s="265"/>
      <c r="F33" s="9"/>
      <c r="G33" s="9"/>
      <c r="H33" s="108"/>
      <c r="I33" s="1"/>
      <c r="K33" s="1"/>
    </row>
    <row r="34" spans="1:13" s="10" customFormat="1" ht="12.95" customHeight="1" x14ac:dyDescent="0.2">
      <c r="A34" s="645"/>
      <c r="B34" s="645"/>
      <c r="C34" s="75" t="s">
        <v>57</v>
      </c>
      <c r="D34" s="76"/>
      <c r="E34" s="153">
        <f>_mvB</f>
        <v>120000</v>
      </c>
      <c r="F34" s="72"/>
      <c r="G34" s="72"/>
      <c r="H34" s="105">
        <v>1</v>
      </c>
      <c r="I34" s="153">
        <f>E34*H34</f>
        <v>120000</v>
      </c>
    </row>
    <row r="35" spans="1:13" ht="6" customHeight="1" x14ac:dyDescent="0.2">
      <c r="H35" s="8"/>
      <c r="I35" s="9"/>
    </row>
    <row r="36" spans="1:13" s="14" customFormat="1" ht="12.95" customHeight="1" x14ac:dyDescent="0.3">
      <c r="A36" s="198" t="s">
        <v>58</v>
      </c>
      <c r="B36" s="199"/>
      <c r="C36" s="199"/>
      <c r="D36" s="199"/>
      <c r="E36" s="205"/>
      <c r="F36" s="205"/>
      <c r="G36" s="205"/>
      <c r="H36" s="206"/>
      <c r="I36" s="207">
        <f>SUM(I6:I34)</f>
        <v>3047500</v>
      </c>
      <c r="K36" s="607"/>
    </row>
    <row r="37" spans="1:13" s="16" customFormat="1" ht="12" customHeight="1" x14ac:dyDescent="0.25">
      <c r="B37" s="17"/>
      <c r="C37" s="17"/>
      <c r="J37" s="160"/>
      <c r="K37" s="160"/>
    </row>
    <row r="38" spans="1:13" ht="12.75" customHeight="1" x14ac:dyDescent="0.2">
      <c r="A38" s="161" t="s">
        <v>190</v>
      </c>
      <c r="B38" s="161"/>
      <c r="C38" s="161"/>
      <c r="D38" s="162"/>
      <c r="E38" s="162"/>
      <c r="F38" s="162"/>
      <c r="G38" s="162"/>
      <c r="H38" s="161"/>
      <c r="I38" s="267"/>
      <c r="K38" s="164"/>
    </row>
    <row r="39" spans="1:13" ht="6.75" customHeight="1" x14ac:dyDescent="0.2">
      <c r="A39" s="163"/>
      <c r="B39" s="163"/>
      <c r="C39" s="163"/>
      <c r="D39" s="163"/>
      <c r="E39" s="163"/>
      <c r="F39" s="163"/>
      <c r="H39" s="8"/>
      <c r="I39" s="183"/>
    </row>
    <row r="40" spans="1:13" ht="12.75" customHeight="1" x14ac:dyDescent="0.2">
      <c r="A40" s="164" t="s">
        <v>106</v>
      </c>
      <c r="B40" s="163"/>
      <c r="C40" s="163"/>
      <c r="D40" s="163"/>
      <c r="E40" s="163"/>
      <c r="F40" s="163"/>
      <c r="H40" s="8"/>
      <c r="I40" s="183"/>
    </row>
    <row r="41" spans="1:13" ht="12.75" customHeight="1" x14ac:dyDescent="0.2">
      <c r="A41" s="18"/>
      <c r="B41" s="18"/>
      <c r="C41" s="18"/>
      <c r="E41" s="165" t="s">
        <v>60</v>
      </c>
      <c r="F41" s="166" t="s">
        <v>61</v>
      </c>
      <c r="H41" s="653" t="s">
        <v>62</v>
      </c>
      <c r="I41" s="653"/>
      <c r="K41" s="248"/>
    </row>
    <row r="42" spans="1:13" ht="12.75" customHeight="1" x14ac:dyDescent="0.2">
      <c r="B42" s="19" t="s">
        <v>63</v>
      </c>
      <c r="C42" s="41"/>
      <c r="D42" s="35"/>
      <c r="E42" s="118">
        <v>18</v>
      </c>
      <c r="F42" s="167" t="s">
        <v>129</v>
      </c>
      <c r="H42" s="492"/>
      <c r="I42" s="493"/>
      <c r="K42" s="248"/>
    </row>
    <row r="43" spans="1:13" ht="12.75" customHeight="1" x14ac:dyDescent="0.2">
      <c r="B43" s="20" t="s">
        <v>65</v>
      </c>
      <c r="C43" s="42"/>
      <c r="D43" s="36"/>
      <c r="E43" s="119">
        <v>1</v>
      </c>
      <c r="F43" s="168" t="s">
        <v>66</v>
      </c>
      <c r="H43" s="494"/>
      <c r="I43" s="495"/>
      <c r="K43" s="248"/>
    </row>
    <row r="44" spans="1:13" ht="12.75" customHeight="1" x14ac:dyDescent="0.2">
      <c r="B44" s="20" t="s">
        <v>67</v>
      </c>
      <c r="C44" s="42"/>
      <c r="D44" s="36"/>
      <c r="E44" s="119">
        <v>1</v>
      </c>
      <c r="F44" s="168" t="s">
        <v>66</v>
      </c>
      <c r="H44" s="494"/>
      <c r="I44" s="495"/>
      <c r="K44" s="248"/>
    </row>
    <row r="45" spans="1:13" ht="12.75" customHeight="1" x14ac:dyDescent="0.2">
      <c r="B45" s="20" t="s">
        <v>68</v>
      </c>
      <c r="C45" s="36"/>
      <c r="D45" s="36"/>
      <c r="E45" s="119">
        <v>1</v>
      </c>
      <c r="F45" s="168" t="s">
        <v>66</v>
      </c>
      <c r="H45" s="496"/>
      <c r="I45" s="497"/>
      <c r="K45" s="248"/>
      <c r="M45" s="635"/>
    </row>
    <row r="46" spans="1:13" ht="4.5" customHeight="1" x14ac:dyDescent="0.2">
      <c r="A46" s="18"/>
      <c r="B46" s="18"/>
      <c r="C46" s="18"/>
      <c r="E46" s="169"/>
      <c r="F46" s="169"/>
      <c r="H46" s="495"/>
      <c r="I46" s="495"/>
      <c r="J46" s="1"/>
      <c r="K46" s="248"/>
    </row>
    <row r="47" spans="1:13" ht="12.75" customHeight="1" x14ac:dyDescent="0.2">
      <c r="A47" s="18"/>
      <c r="B47" s="18"/>
      <c r="C47" s="437" t="s">
        <v>130</v>
      </c>
      <c r="D47" s="434"/>
      <c r="E47" s="119">
        <v>0</v>
      </c>
      <c r="F47" s="168" t="s">
        <v>70</v>
      </c>
      <c r="H47" s="494"/>
      <c r="I47" s="495"/>
      <c r="J47" s="1"/>
      <c r="K47" s="248"/>
    </row>
    <row r="48" spans="1:13" ht="12.75" customHeight="1" x14ac:dyDescent="0.2">
      <c r="A48" s="18"/>
      <c r="B48" s="18"/>
      <c r="C48" s="437" t="s">
        <v>71</v>
      </c>
      <c r="D48" s="434"/>
      <c r="E48" s="119">
        <v>0</v>
      </c>
      <c r="F48" s="168" t="s">
        <v>72</v>
      </c>
      <c r="H48" s="496"/>
      <c r="I48" s="497"/>
      <c r="J48" s="1"/>
      <c r="K48" s="248"/>
    </row>
    <row r="49" spans="1:12" ht="4.5" customHeight="1" x14ac:dyDescent="0.2">
      <c r="A49" s="18"/>
      <c r="B49" s="18"/>
      <c r="C49" s="18"/>
      <c r="E49" s="169"/>
      <c r="F49" s="169"/>
      <c r="H49" s="8"/>
      <c r="I49" s="245"/>
      <c r="J49" s="1"/>
      <c r="K49" s="248"/>
    </row>
    <row r="50" spans="1:12" ht="12.75" customHeight="1" x14ac:dyDescent="0.2">
      <c r="B50" s="18" t="s">
        <v>75</v>
      </c>
      <c r="C50" s="1"/>
      <c r="D50" s="170"/>
      <c r="E50" s="172">
        <f>SUM(E42:E48)</f>
        <v>21</v>
      </c>
      <c r="F50" s="171"/>
      <c r="H50" s="8"/>
      <c r="I50" s="245"/>
      <c r="J50" s="1"/>
      <c r="K50" s="40"/>
    </row>
    <row r="51" spans="1:12" ht="8.1" customHeight="1" x14ac:dyDescent="0.2">
      <c r="B51" s="18"/>
      <c r="C51" s="1"/>
      <c r="D51" s="171"/>
      <c r="E51" s="171"/>
      <c r="F51" s="171"/>
      <c r="H51" s="8"/>
      <c r="I51" s="245"/>
      <c r="J51" s="1"/>
      <c r="K51" s="40"/>
    </row>
    <row r="52" spans="1:12" ht="12.95" customHeight="1" x14ac:dyDescent="0.2">
      <c r="A52" s="164" t="s">
        <v>76</v>
      </c>
      <c r="B52" s="164"/>
      <c r="C52" s="163"/>
      <c r="D52" s="163"/>
      <c r="E52" s="163"/>
      <c r="F52" s="163"/>
      <c r="H52" s="268"/>
      <c r="I52" s="1"/>
      <c r="J52" s="1"/>
    </row>
    <row r="53" spans="1:12" ht="4.5" customHeight="1" x14ac:dyDescent="0.2">
      <c r="A53" s="164"/>
      <c r="B53" s="164"/>
      <c r="C53" s="164"/>
      <c r="D53" s="164"/>
      <c r="G53" s="8"/>
      <c r="I53" s="1"/>
      <c r="J53" s="1"/>
    </row>
    <row r="54" spans="1:12" ht="12.75" customHeight="1" x14ac:dyDescent="0.2">
      <c r="A54" s="173" t="s">
        <v>77</v>
      </c>
      <c r="B54" s="173"/>
      <c r="C54" s="1"/>
      <c r="E54" s="200">
        <f>I36</f>
        <v>3047500</v>
      </c>
      <c r="G54" s="654" t="str">
        <f>IF(E54&lt;500000,"! gemäß BP.9 (3): Wenn die Bemessungsgrundlage niedriger ist als 500.000 €, sollte der Ermittlungsweg über Abschätzung des Büro- / Personalaufwandes gewählt werden","")</f>
        <v/>
      </c>
      <c r="H54" s="654"/>
      <c r="I54" s="1"/>
      <c r="J54" s="1"/>
    </row>
    <row r="55" spans="1:12" ht="8.1" customHeight="1" x14ac:dyDescent="0.2">
      <c r="A55" s="18"/>
      <c r="B55" s="18"/>
      <c r="C55" s="18"/>
      <c r="D55" s="18"/>
      <c r="E55" s="170"/>
      <c r="G55" s="654"/>
      <c r="H55" s="654"/>
      <c r="I55" s="1"/>
      <c r="J55" s="1"/>
    </row>
    <row r="56" spans="1:12" ht="13.5" customHeight="1" x14ac:dyDescent="0.3">
      <c r="A56" s="23" t="s">
        <v>191</v>
      </c>
      <c r="B56" s="23"/>
      <c r="C56" s="23"/>
      <c r="E56" s="353">
        <f>0.021*E50+0.761</f>
        <v>1.2</v>
      </c>
      <c r="F56" s="122"/>
      <c r="G56" s="654"/>
      <c r="H56" s="654"/>
      <c r="I56" s="1"/>
      <c r="J56" s="1"/>
      <c r="K56" s="507"/>
      <c r="L56" s="37"/>
    </row>
    <row r="57" spans="1:12" ht="4.5" customHeight="1" x14ac:dyDescent="0.2">
      <c r="A57" s="18"/>
      <c r="B57" s="18"/>
      <c r="C57" s="18"/>
      <c r="E57" s="28"/>
      <c r="F57" s="122"/>
      <c r="G57" s="654"/>
      <c r="H57" s="654"/>
      <c r="I57" s="1"/>
      <c r="J57" s="1"/>
      <c r="K57" s="507"/>
      <c r="L57" s="37"/>
    </row>
    <row r="58" spans="1:12" s="110" customFormat="1" ht="18" customHeight="1" x14ac:dyDescent="0.25">
      <c r="A58" s="18" t="s">
        <v>192</v>
      </c>
      <c r="B58" s="18"/>
      <c r="C58" s="18"/>
      <c r="E58" s="232">
        <f>ROUND(117.07*E54^(-0.41731)*E56/100,6)</f>
        <v>2.7659999999999998E-3</v>
      </c>
      <c r="F58" s="563" t="s">
        <v>80</v>
      </c>
      <c r="G58" s="654"/>
      <c r="H58" s="654"/>
      <c r="K58" s="564"/>
      <c r="L58" s="386"/>
    </row>
    <row r="59" spans="1:12" ht="12.75" customHeight="1" x14ac:dyDescent="0.2">
      <c r="A59" s="18" t="s">
        <v>193</v>
      </c>
      <c r="B59" s="18"/>
      <c r="C59" s="18"/>
      <c r="E59" s="274">
        <v>0</v>
      </c>
      <c r="F59" s="208"/>
      <c r="G59" s="654"/>
      <c r="H59" s="654"/>
      <c r="I59" s="1"/>
      <c r="J59" s="1"/>
      <c r="K59" s="507"/>
      <c r="L59" s="37"/>
    </row>
    <row r="60" spans="1:12" ht="8.1" customHeight="1" x14ac:dyDescent="0.2">
      <c r="A60" s="18"/>
      <c r="B60" s="18"/>
      <c r="C60" s="18"/>
      <c r="E60" s="174"/>
      <c r="F60" s="174"/>
      <c r="G60" s="654"/>
      <c r="H60" s="654"/>
      <c r="I60" s="1"/>
      <c r="J60" s="1"/>
    </row>
    <row r="61" spans="1:12" ht="15" customHeight="1" x14ac:dyDescent="0.3">
      <c r="A61" s="21" t="s">
        <v>194</v>
      </c>
      <c r="B61" s="19"/>
      <c r="C61" s="19"/>
      <c r="D61" s="175"/>
      <c r="E61" s="176"/>
      <c r="F61" s="271">
        <f>E54*E58*(1+E59)</f>
        <v>8429</v>
      </c>
      <c r="G61" s="8"/>
      <c r="I61" s="1"/>
      <c r="J61" s="1"/>
    </row>
    <row r="62" spans="1:12" ht="6" customHeight="1" x14ac:dyDescent="0.2">
      <c r="A62" s="23"/>
      <c r="B62" s="18"/>
      <c r="C62" s="18"/>
      <c r="D62" s="163"/>
      <c r="E62" s="163"/>
      <c r="F62" s="177"/>
      <c r="G62" s="177"/>
      <c r="H62" s="8"/>
      <c r="I62" s="1"/>
      <c r="J62" s="1"/>
    </row>
    <row r="63" spans="1:12" ht="12.95" customHeight="1" x14ac:dyDescent="0.2">
      <c r="A63" s="23"/>
      <c r="B63" s="18"/>
      <c r="C63" s="18"/>
      <c r="D63" s="337" t="s">
        <v>84</v>
      </c>
      <c r="E63" s="338" t="s">
        <v>60</v>
      </c>
      <c r="F63" s="177"/>
      <c r="H63" s="8"/>
      <c r="I63" s="29"/>
      <c r="J63" s="1"/>
    </row>
    <row r="64" spans="1:12" ht="12.75" customHeight="1" x14ac:dyDescent="0.25">
      <c r="A64" s="163" t="s">
        <v>139</v>
      </c>
      <c r="B64" s="163"/>
      <c r="C64" s="178"/>
      <c r="D64" s="339">
        <v>0.03</v>
      </c>
      <c r="E64" s="224">
        <v>0.03</v>
      </c>
      <c r="F64" s="234">
        <f t="shared" ref="F64:F73" si="1">$F$61*E64</f>
        <v>253</v>
      </c>
      <c r="H64" s="8"/>
      <c r="I64"/>
      <c r="J64" s="1"/>
    </row>
    <row r="65" spans="1:14" ht="12.75" customHeight="1" x14ac:dyDescent="0.25">
      <c r="A65" s="163" t="s">
        <v>86</v>
      </c>
      <c r="B65" s="163"/>
      <c r="C65" s="178"/>
      <c r="D65" s="339">
        <v>0.17</v>
      </c>
      <c r="E65" s="225">
        <v>0.17</v>
      </c>
      <c r="F65" s="234">
        <f t="shared" si="1"/>
        <v>1433</v>
      </c>
      <c r="H65" s="8"/>
      <c r="I65"/>
      <c r="J65" s="1"/>
    </row>
    <row r="66" spans="1:14" ht="12.75" customHeight="1" x14ac:dyDescent="0.25">
      <c r="A66" s="163" t="s">
        <v>87</v>
      </c>
      <c r="B66" s="163"/>
      <c r="C66" s="178"/>
      <c r="D66" s="339">
        <v>0.35</v>
      </c>
      <c r="E66" s="225">
        <v>0.35</v>
      </c>
      <c r="F66" s="234">
        <f t="shared" si="1"/>
        <v>2950</v>
      </c>
      <c r="H66" s="8"/>
      <c r="I66"/>
      <c r="J66" s="1"/>
    </row>
    <row r="67" spans="1:14" ht="12.75" customHeight="1" x14ac:dyDescent="0.25">
      <c r="A67" s="163" t="s">
        <v>88</v>
      </c>
      <c r="B67" s="163"/>
      <c r="C67" s="178"/>
      <c r="D67" s="339">
        <v>0.05</v>
      </c>
      <c r="E67" s="225">
        <v>0.05</v>
      </c>
      <c r="F67" s="234">
        <f t="shared" si="1"/>
        <v>421</v>
      </c>
      <c r="H67" s="8"/>
      <c r="I67"/>
      <c r="J67" s="1"/>
    </row>
    <row r="68" spans="1:14" ht="12.75" customHeight="1" x14ac:dyDescent="0.25">
      <c r="A68" s="163" t="s">
        <v>195</v>
      </c>
      <c r="B68" s="163"/>
      <c r="C68" s="178"/>
      <c r="D68" s="339">
        <v>0.27</v>
      </c>
      <c r="E68" s="225">
        <v>0.27</v>
      </c>
      <c r="F68" s="234">
        <f t="shared" si="1"/>
        <v>2276</v>
      </c>
      <c r="H68" s="8"/>
      <c r="I68"/>
      <c r="J68" s="1"/>
    </row>
    <row r="69" spans="1:14" ht="12.75" customHeight="1" x14ac:dyDescent="0.25">
      <c r="A69" s="163" t="s">
        <v>90</v>
      </c>
      <c r="B69" s="163"/>
      <c r="C69" s="178"/>
      <c r="D69" s="339">
        <v>0.02</v>
      </c>
      <c r="E69" s="225">
        <v>0.02</v>
      </c>
      <c r="F69" s="234">
        <f t="shared" si="1"/>
        <v>169</v>
      </c>
      <c r="H69" s="8"/>
      <c r="I69"/>
      <c r="J69" s="1"/>
    </row>
    <row r="70" spans="1:14" ht="12.75" customHeight="1" x14ac:dyDescent="0.25">
      <c r="A70" s="163" t="s">
        <v>196</v>
      </c>
      <c r="B70" s="163"/>
      <c r="C70" s="178"/>
      <c r="D70" s="339">
        <v>0.02</v>
      </c>
      <c r="E70" s="225">
        <v>0.02</v>
      </c>
      <c r="F70" s="234">
        <f t="shared" si="1"/>
        <v>169</v>
      </c>
      <c r="H70" s="8"/>
      <c r="I70"/>
      <c r="J70" s="1"/>
    </row>
    <row r="71" spans="1:14" ht="12.75" customHeight="1" x14ac:dyDescent="0.25">
      <c r="A71" s="163" t="s">
        <v>113</v>
      </c>
      <c r="B71" s="163"/>
      <c r="C71" s="178"/>
      <c r="D71" s="339">
        <v>0.09</v>
      </c>
      <c r="E71" s="225">
        <v>0.09</v>
      </c>
      <c r="F71" s="234">
        <f t="shared" si="1"/>
        <v>759</v>
      </c>
      <c r="H71" s="8"/>
      <c r="I71"/>
      <c r="J71" s="1"/>
    </row>
    <row r="72" spans="1:14" ht="12.75" customHeight="1" x14ac:dyDescent="0.25">
      <c r="A72" s="163" t="s">
        <v>197</v>
      </c>
      <c r="B72" s="163"/>
      <c r="C72" s="178"/>
      <c r="D72" s="339">
        <v>0</v>
      </c>
      <c r="E72" s="225">
        <v>0</v>
      </c>
      <c r="F72" s="234">
        <f t="shared" si="1"/>
        <v>0</v>
      </c>
      <c r="H72" s="8"/>
      <c r="I72"/>
      <c r="J72" s="1"/>
    </row>
    <row r="73" spans="1:14" ht="12.75" customHeight="1" x14ac:dyDescent="0.2">
      <c r="A73" s="175" t="s">
        <v>115</v>
      </c>
      <c r="B73" s="175"/>
      <c r="C73" s="180"/>
      <c r="D73" s="340">
        <v>0</v>
      </c>
      <c r="E73" s="226">
        <v>0</v>
      </c>
      <c r="F73" s="237">
        <f t="shared" si="1"/>
        <v>0</v>
      </c>
      <c r="G73" s="176"/>
      <c r="H73" s="176"/>
      <c r="I73" s="176"/>
      <c r="J73" s="1"/>
    </row>
    <row r="74" spans="1:14" s="16" customFormat="1" ht="18.600000000000001" customHeight="1" x14ac:dyDescent="0.25">
      <c r="A74" s="381" t="s">
        <v>116</v>
      </c>
      <c r="B74" s="382"/>
      <c r="C74" s="449"/>
      <c r="D74" s="627">
        <f>SUM(D64:D73)</f>
        <v>1</v>
      </c>
      <c r="E74" s="383">
        <f>SUM(E64:E73)</f>
        <v>1</v>
      </c>
      <c r="F74" s="372">
        <f>SUM(F64:F73)</f>
        <v>8430</v>
      </c>
      <c r="H74" s="499"/>
      <c r="I74" s="31"/>
    </row>
    <row r="75" spans="1:14" ht="12.75" customHeight="1" x14ac:dyDescent="0.25">
      <c r="A75" s="641" t="s">
        <v>198</v>
      </c>
      <c r="B75" s="163"/>
      <c r="C75" s="178"/>
      <c r="D75" s="339">
        <v>0.02</v>
      </c>
      <c r="E75" s="363">
        <v>0</v>
      </c>
      <c r="F75" s="183">
        <f>$F$61*E75</f>
        <v>0</v>
      </c>
      <c r="H75" s="8"/>
      <c r="I75"/>
      <c r="J75" s="1"/>
      <c r="K75" s="1"/>
    </row>
    <row r="76" spans="1:14" ht="12.75" customHeight="1" x14ac:dyDescent="0.2">
      <c r="A76" s="641" t="s">
        <v>257</v>
      </c>
      <c r="B76" s="175"/>
      <c r="C76" s="180"/>
      <c r="D76" s="340">
        <v>0.02</v>
      </c>
      <c r="E76" s="226">
        <v>0</v>
      </c>
      <c r="F76" s="184">
        <f>$F$61*E76</f>
        <v>0</v>
      </c>
      <c r="G76" s="176"/>
      <c r="H76" s="176"/>
      <c r="I76" s="176"/>
      <c r="J76" s="1"/>
      <c r="K76" s="1"/>
    </row>
    <row r="77" spans="1:14" ht="12.75" customHeight="1" x14ac:dyDescent="0.2">
      <c r="A77" s="649" t="s">
        <v>252</v>
      </c>
      <c r="B77" s="649"/>
      <c r="C77" s="649"/>
      <c r="D77" s="254">
        <f>SUM(D74:D76)</f>
        <v>1.04</v>
      </c>
      <c r="E77" s="227">
        <f>SUM(E75:E76)+E74</f>
        <v>1</v>
      </c>
      <c r="F77" s="236">
        <f>ROUND(SUM(F75:F76),2)+F74</f>
        <v>8430</v>
      </c>
      <c r="H77" s="8"/>
      <c r="I77" s="99">
        <f>F77</f>
        <v>8430</v>
      </c>
      <c r="J77" s="1"/>
    </row>
    <row r="78" spans="1:14" ht="12.75" customHeight="1" x14ac:dyDescent="0.25">
      <c r="E78" s="108"/>
      <c r="H78" s="8"/>
      <c r="I78"/>
      <c r="J78" s="1"/>
    </row>
    <row r="79" spans="1:14" ht="12.75" customHeight="1" x14ac:dyDescent="0.25">
      <c r="A79" s="33" t="s">
        <v>98</v>
      </c>
      <c r="E79" s="230">
        <v>0</v>
      </c>
      <c r="F79" s="231">
        <v>0</v>
      </c>
      <c r="H79" s="8"/>
      <c r="I79" s="99">
        <f>E79*F79</f>
        <v>0</v>
      </c>
      <c r="J79" s="1"/>
      <c r="L79"/>
      <c r="M79"/>
      <c r="N79"/>
    </row>
    <row r="80" spans="1:14" ht="8.1" customHeight="1" x14ac:dyDescent="0.2">
      <c r="A80" s="18"/>
      <c r="B80" s="18"/>
      <c r="C80" s="18"/>
      <c r="E80" s="174"/>
      <c r="F80" s="174"/>
      <c r="H80" s="8"/>
      <c r="I80" s="1"/>
      <c r="J80" s="1"/>
    </row>
    <row r="81" spans="1:10" s="23" customFormat="1" ht="12.75" x14ac:dyDescent="0.2">
      <c r="A81" s="94" t="s">
        <v>199</v>
      </c>
      <c r="B81" s="95"/>
      <c r="C81" s="96"/>
      <c r="D81" s="96"/>
      <c r="E81" s="97"/>
      <c r="F81" s="109"/>
      <c r="G81" s="97"/>
      <c r="H81" s="97"/>
      <c r="I81" s="99">
        <f>I77+I79</f>
        <v>8430</v>
      </c>
    </row>
    <row r="82" spans="1:10" s="23" customFormat="1" ht="4.5" customHeight="1" x14ac:dyDescent="0.2">
      <c r="B82" s="24"/>
      <c r="C82" s="25"/>
      <c r="D82" s="25"/>
      <c r="E82" s="46"/>
      <c r="F82" s="219"/>
      <c r="G82" s="48"/>
      <c r="I82" s="91"/>
    </row>
    <row r="83" spans="1:10" s="23" customFormat="1" ht="12.75" x14ac:dyDescent="0.2">
      <c r="A83" s="49" t="s">
        <v>40</v>
      </c>
      <c r="B83" s="24"/>
      <c r="C83" s="25"/>
      <c r="D83" s="25"/>
      <c r="E83" s="47"/>
      <c r="F83" s="220">
        <v>0.04</v>
      </c>
      <c r="G83" s="48"/>
      <c r="I83" s="92">
        <f>ROUND(I81*F83,2)</f>
        <v>337</v>
      </c>
    </row>
    <row r="84" spans="1:10" s="23" customFormat="1" ht="3" customHeight="1" x14ac:dyDescent="0.2">
      <c r="A84" s="50"/>
      <c r="B84" s="51"/>
      <c r="C84" s="52"/>
      <c r="D84" s="52"/>
      <c r="E84" s="56"/>
      <c r="F84" s="221"/>
      <c r="G84" s="57"/>
      <c r="H84" s="50"/>
      <c r="I84" s="93"/>
    </row>
    <row r="85" spans="1:10" s="23" customFormat="1" ht="3" customHeight="1" x14ac:dyDescent="0.2">
      <c r="B85" s="24"/>
      <c r="C85" s="25"/>
      <c r="D85" s="25"/>
      <c r="E85" s="58"/>
      <c r="F85" s="222"/>
      <c r="G85" s="65"/>
      <c r="H85" s="59"/>
      <c r="I85" s="91"/>
    </row>
    <row r="86" spans="1:10" s="23" customFormat="1" ht="12.75" x14ac:dyDescent="0.2">
      <c r="A86" s="53" t="s">
        <v>200</v>
      </c>
      <c r="B86" s="54"/>
      <c r="C86" s="55"/>
      <c r="D86" s="55"/>
      <c r="E86" s="26"/>
      <c r="F86" s="219"/>
      <c r="G86" s="48"/>
      <c r="I86" s="92">
        <f>I81+I83</f>
        <v>8767</v>
      </c>
    </row>
    <row r="87" spans="1:10" s="23" customFormat="1" ht="12.75" x14ac:dyDescent="0.2">
      <c r="A87" s="23" t="s">
        <v>48</v>
      </c>
      <c r="B87" s="24"/>
      <c r="D87" s="25"/>
      <c r="E87" s="26"/>
      <c r="F87" s="27">
        <v>0.2</v>
      </c>
      <c r="G87" s="27"/>
      <c r="I87" s="92">
        <f>ROUND(I86*F87,2)</f>
        <v>1753</v>
      </c>
    </row>
    <row r="88" spans="1:10" s="23" customFormat="1" ht="3" customHeight="1" x14ac:dyDescent="0.2">
      <c r="B88" s="24"/>
      <c r="C88" s="25"/>
      <c r="D88" s="25"/>
      <c r="E88" s="26"/>
      <c r="F88" s="48"/>
      <c r="G88" s="48"/>
      <c r="I88" s="91"/>
    </row>
    <row r="89" spans="1:10" s="23" customFormat="1" ht="12.75" x14ac:dyDescent="0.2">
      <c r="A89" s="191" t="s">
        <v>201</v>
      </c>
      <c r="B89" s="201"/>
      <c r="C89" s="192"/>
      <c r="D89" s="192"/>
      <c r="E89" s="193"/>
      <c r="F89" s="195"/>
      <c r="G89" s="195"/>
      <c r="H89" s="193"/>
      <c r="I89" s="196">
        <f>SUM(I85:I87)</f>
        <v>10520</v>
      </c>
    </row>
    <row r="90" spans="1:10" ht="5.0999999999999996" customHeight="1" x14ac:dyDescent="0.2">
      <c r="H90" s="8"/>
      <c r="I90" s="9"/>
      <c r="J90" s="1"/>
    </row>
    <row r="91" spans="1:10" ht="12.75" x14ac:dyDescent="0.2">
      <c r="A91" s="203" t="s">
        <v>120</v>
      </c>
      <c r="F91" s="270">
        <f>I86/E32</f>
        <v>2.16E-3</v>
      </c>
      <c r="H91" s="8"/>
      <c r="I91" s="9"/>
      <c r="J91" s="1"/>
    </row>
  </sheetData>
  <sheetProtection algorithmName="SHA-512" hashValue="p4cZWp1zNBrMz9iAEdsmdRpY5iv6g+fyJynOMj5jxzbKdPsKAZF9cgnkxEz4Eub9cI0S8IJW8wa5VIIfoeEr9Q==" saltValue="2J46cr4/bGPMLrxWiBJmHw==" spinCount="100000" sheet="1" objects="1" scenarios="1"/>
  <mergeCells count="14">
    <mergeCell ref="A77:C77"/>
    <mergeCell ref="A6:B6"/>
    <mergeCell ref="A8:B8"/>
    <mergeCell ref="A10:B10"/>
    <mergeCell ref="H1:I1"/>
    <mergeCell ref="G54:H60"/>
    <mergeCell ref="A20:B20"/>
    <mergeCell ref="A22:B22"/>
    <mergeCell ref="A24:B24"/>
    <mergeCell ref="A26:B26"/>
    <mergeCell ref="A28:B28"/>
    <mergeCell ref="A30:B30"/>
    <mergeCell ref="A34:B34"/>
    <mergeCell ref="H41:I41"/>
  </mergeCells>
  <phoneticPr fontId="84" type="noConversion"/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41</xdr:row>
                    <xdr:rowOff>19050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Scroll Bar 2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Scroll Bar 3">
              <controlPr locked="0"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9174-2315-418B-B569-9531E7AED194}">
  <sheetPr>
    <tabColor theme="6"/>
  </sheetPr>
  <dimension ref="A1:N90"/>
  <sheetViews>
    <sheetView showGridLines="0" zoomScaleNormal="100" zoomScaleSheetLayoutView="160" zoomScalePageLayoutView="130" workbookViewId="0">
      <selection activeCell="H10" sqref="H10"/>
    </sheetView>
  </sheetViews>
  <sheetFormatPr baseColWidth="10" defaultColWidth="11.5703125" defaultRowHeight="12" x14ac:dyDescent="0.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 x14ac:dyDescent="0.2"/>
    <row r="2" spans="1:11" s="37" customFormat="1" ht="35.1" customHeight="1" x14ac:dyDescent="0.2">
      <c r="A2" s="107" t="s">
        <v>51</v>
      </c>
      <c r="C2" s="7"/>
      <c r="G2" s="38"/>
      <c r="H2" s="644" t="s">
        <v>254</v>
      </c>
      <c r="I2" s="644"/>
      <c r="J2" s="560"/>
      <c r="K2" s="43"/>
    </row>
    <row r="3" spans="1:11" s="10" customFormat="1" ht="6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 x14ac:dyDescent="0.25">
      <c r="J4" s="2"/>
      <c r="K4" s="2"/>
    </row>
    <row r="5" spans="1:11" s="10" customFormat="1" ht="12.95" customHeight="1" x14ac:dyDescent="0.25">
      <c r="D5" s="69" t="s">
        <v>2</v>
      </c>
      <c r="E5" s="30" t="s">
        <v>3</v>
      </c>
      <c r="G5" s="30"/>
      <c r="H5" s="12" t="s">
        <v>52</v>
      </c>
      <c r="I5" s="89" t="s">
        <v>53</v>
      </c>
      <c r="K5" s="30"/>
    </row>
    <row r="6" spans="1:11" s="11" customFormat="1" ht="12.95" customHeight="1" x14ac:dyDescent="0.2">
      <c r="A6" s="645">
        <v>1</v>
      </c>
      <c r="B6" s="645"/>
      <c r="C6" s="76" t="s">
        <v>4</v>
      </c>
      <c r="D6" s="138">
        <f>E6/$E$32</f>
        <v>2E-3</v>
      </c>
      <c r="E6" s="153">
        <f>_1</f>
        <v>10000</v>
      </c>
      <c r="F6" s="72"/>
      <c r="G6" s="72"/>
      <c r="H6" s="502">
        <v>0</v>
      </c>
      <c r="I6" s="153">
        <f>E6*H6</f>
        <v>0</v>
      </c>
      <c r="K6" s="34"/>
    </row>
    <row r="7" spans="1:11" ht="3.95" customHeight="1" x14ac:dyDescent="0.2">
      <c r="B7" s="4"/>
      <c r="C7" s="1"/>
      <c r="D7" s="139"/>
      <c r="E7" s="127"/>
      <c r="H7" s="503"/>
      <c r="I7" s="127"/>
      <c r="K7" s="44"/>
    </row>
    <row r="8" spans="1:11" s="11" customFormat="1" ht="12.95" customHeight="1" x14ac:dyDescent="0.2">
      <c r="A8" s="645">
        <v>2</v>
      </c>
      <c r="B8" s="645"/>
      <c r="C8" s="76" t="s">
        <v>5</v>
      </c>
      <c r="D8" s="138">
        <f>E8/$E$32</f>
        <v>0.37</v>
      </c>
      <c r="E8" s="153">
        <f>_2</f>
        <v>1500000</v>
      </c>
      <c r="F8" s="72"/>
      <c r="G8" s="72"/>
      <c r="H8" s="504">
        <v>1</v>
      </c>
      <c r="I8" s="153">
        <f>E8*H8</f>
        <v>1500000</v>
      </c>
      <c r="K8" s="34"/>
    </row>
    <row r="9" spans="1:11" ht="3.95" customHeight="1" x14ac:dyDescent="0.2">
      <c r="C9" s="1"/>
      <c r="D9" s="139"/>
      <c r="E9" s="505"/>
      <c r="H9" s="503"/>
      <c r="I9" s="126"/>
      <c r="K9" s="34"/>
    </row>
    <row r="10" spans="1:11" s="10" customFormat="1" ht="12.95" customHeight="1" x14ac:dyDescent="0.2">
      <c r="A10" s="645">
        <v>3</v>
      </c>
      <c r="B10" s="645"/>
      <c r="C10" s="76" t="s">
        <v>6</v>
      </c>
      <c r="D10" s="138">
        <f>E10/$E$32</f>
        <v>0.14899999999999999</v>
      </c>
      <c r="E10" s="154">
        <f>_3</f>
        <v>605000</v>
      </c>
      <c r="F10" s="72"/>
      <c r="G10" s="72"/>
      <c r="H10" s="503"/>
      <c r="I10" s="126"/>
      <c r="K10" s="34"/>
    </row>
    <row r="11" spans="1:11" ht="12.95" customHeight="1" x14ac:dyDescent="0.2">
      <c r="A11" s="348">
        <v>3</v>
      </c>
      <c r="B11" s="79" t="s">
        <v>7</v>
      </c>
      <c r="C11" s="80" t="s">
        <v>8</v>
      </c>
      <c r="D11" s="140"/>
      <c r="E11" s="150">
        <f>_3.01</f>
        <v>120000</v>
      </c>
      <c r="F11" s="72"/>
      <c r="G11" s="72"/>
      <c r="H11" s="504">
        <v>1</v>
      </c>
      <c r="I11" s="155">
        <f t="shared" ref="I11:I18" si="0">E11*H11</f>
        <v>120000</v>
      </c>
      <c r="K11" s="34"/>
    </row>
    <row r="12" spans="1:11" ht="12.95" customHeight="1" x14ac:dyDescent="0.2">
      <c r="A12" s="349">
        <v>3</v>
      </c>
      <c r="B12" s="83" t="s">
        <v>9</v>
      </c>
      <c r="C12" s="84" t="s">
        <v>10</v>
      </c>
      <c r="D12" s="141"/>
      <c r="E12" s="151">
        <f>_3.02</f>
        <v>130000</v>
      </c>
      <c r="F12" s="72"/>
      <c r="G12" s="72"/>
      <c r="H12" s="504">
        <v>1</v>
      </c>
      <c r="I12" s="209">
        <f t="shared" si="0"/>
        <v>130000</v>
      </c>
      <c r="K12" s="34"/>
    </row>
    <row r="13" spans="1:11" ht="12.95" customHeight="1" x14ac:dyDescent="0.2">
      <c r="A13" s="349">
        <v>3</v>
      </c>
      <c r="B13" s="83" t="s">
        <v>11</v>
      </c>
      <c r="C13" s="84" t="s">
        <v>12</v>
      </c>
      <c r="D13" s="141"/>
      <c r="E13" s="152">
        <f>_3.03</f>
        <v>130000</v>
      </c>
      <c r="F13" s="72"/>
      <c r="G13" s="72"/>
      <c r="H13" s="504">
        <v>1</v>
      </c>
      <c r="I13" s="209">
        <f t="shared" si="0"/>
        <v>130000</v>
      </c>
      <c r="K13" s="34"/>
    </row>
    <row r="14" spans="1:11" ht="12.95" customHeight="1" x14ac:dyDescent="0.2">
      <c r="A14" s="349">
        <v>3</v>
      </c>
      <c r="B14" s="83" t="s">
        <v>13</v>
      </c>
      <c r="C14" s="84" t="s">
        <v>14</v>
      </c>
      <c r="D14" s="141"/>
      <c r="E14" s="152">
        <f>_3.04</f>
        <v>140000</v>
      </c>
      <c r="F14" s="72"/>
      <c r="G14" s="72"/>
      <c r="H14" s="504">
        <v>1</v>
      </c>
      <c r="I14" s="209">
        <f t="shared" si="0"/>
        <v>140000</v>
      </c>
      <c r="K14" s="34"/>
    </row>
    <row r="15" spans="1:11" ht="12.95" customHeight="1" x14ac:dyDescent="0.2">
      <c r="A15" s="349">
        <v>3</v>
      </c>
      <c r="B15" s="83" t="s">
        <v>15</v>
      </c>
      <c r="C15" s="84" t="s">
        <v>16</v>
      </c>
      <c r="D15" s="141"/>
      <c r="E15" s="152">
        <f>_3.05</f>
        <v>65000</v>
      </c>
      <c r="F15" s="72"/>
      <c r="G15" s="72"/>
      <c r="H15" s="504">
        <v>1</v>
      </c>
      <c r="I15" s="209">
        <f t="shared" si="0"/>
        <v>65000</v>
      </c>
      <c r="K15" s="34"/>
    </row>
    <row r="16" spans="1:11" ht="12.95" customHeight="1" x14ac:dyDescent="0.2">
      <c r="A16" s="349">
        <v>3</v>
      </c>
      <c r="B16" s="83" t="s">
        <v>17</v>
      </c>
      <c r="C16" s="84" t="s">
        <v>18</v>
      </c>
      <c r="D16" s="141"/>
      <c r="E16" s="152">
        <f>_3.06</f>
        <v>20000</v>
      </c>
      <c r="F16" s="72"/>
      <c r="G16" s="72"/>
      <c r="H16" s="504">
        <v>1</v>
      </c>
      <c r="I16" s="209">
        <f t="shared" si="0"/>
        <v>20000</v>
      </c>
      <c r="K16" s="34"/>
    </row>
    <row r="17" spans="1:11" ht="12.95" customHeight="1" x14ac:dyDescent="0.2">
      <c r="A17" s="349">
        <v>3</v>
      </c>
      <c r="B17" s="83" t="s">
        <v>19</v>
      </c>
      <c r="C17" s="84" t="s">
        <v>20</v>
      </c>
      <c r="D17" s="141"/>
      <c r="E17" s="152">
        <f>_3.07</f>
        <v>0</v>
      </c>
      <c r="F17" s="72"/>
      <c r="G17" s="72"/>
      <c r="H17" s="504">
        <v>0</v>
      </c>
      <c r="I17" s="209">
        <f t="shared" si="0"/>
        <v>0</v>
      </c>
      <c r="K17" s="34"/>
    </row>
    <row r="18" spans="1:11" ht="12.95" customHeight="1" x14ac:dyDescent="0.2">
      <c r="A18" s="349">
        <v>3</v>
      </c>
      <c r="B18" s="83" t="s">
        <v>21</v>
      </c>
      <c r="C18" s="84" t="s">
        <v>22</v>
      </c>
      <c r="D18" s="141"/>
      <c r="E18" s="152">
        <f>_3.08</f>
        <v>0</v>
      </c>
      <c r="F18" s="72"/>
      <c r="G18" s="72"/>
      <c r="H18" s="504">
        <v>1</v>
      </c>
      <c r="I18" s="210">
        <f t="shared" si="0"/>
        <v>0</v>
      </c>
      <c r="K18" s="34"/>
    </row>
    <row r="19" spans="1:11" ht="3.95" customHeight="1" x14ac:dyDescent="0.2">
      <c r="C19" s="1"/>
      <c r="D19" s="139"/>
      <c r="E19" s="126"/>
      <c r="H19" s="506"/>
      <c r="I19" s="126"/>
      <c r="K19" s="158"/>
    </row>
    <row r="20" spans="1:11" s="10" customFormat="1" ht="12.75" customHeight="1" x14ac:dyDescent="0.2">
      <c r="A20" s="645">
        <v>4</v>
      </c>
      <c r="B20" s="645"/>
      <c r="C20" s="76" t="s">
        <v>23</v>
      </c>
      <c r="D20" s="138">
        <f>E20/$E$32</f>
        <v>0.19700000000000001</v>
      </c>
      <c r="E20" s="153">
        <f>_4</f>
        <v>800000</v>
      </c>
      <c r="F20" s="72"/>
      <c r="G20" s="72"/>
      <c r="H20" s="504">
        <v>1</v>
      </c>
      <c r="I20" s="153">
        <f>E20*H20</f>
        <v>800000</v>
      </c>
      <c r="K20" s="34"/>
    </row>
    <row r="21" spans="1:11" ht="3.95" customHeight="1" x14ac:dyDescent="0.2">
      <c r="B21" s="4"/>
      <c r="C21" s="1"/>
      <c r="D21" s="139"/>
      <c r="E21" s="126"/>
      <c r="H21" s="503"/>
      <c r="I21" s="126"/>
      <c r="K21" s="33"/>
    </row>
    <row r="22" spans="1:11" s="11" customFormat="1" ht="12.95" customHeight="1" x14ac:dyDescent="0.2">
      <c r="A22" s="645">
        <v>5</v>
      </c>
      <c r="B22" s="645"/>
      <c r="C22" s="76" t="s">
        <v>24</v>
      </c>
      <c r="D22" s="138">
        <f>E22/$E$32</f>
        <v>2.5000000000000001E-2</v>
      </c>
      <c r="E22" s="155">
        <f>_5</f>
        <v>100000</v>
      </c>
      <c r="F22" s="72"/>
      <c r="G22" s="72"/>
      <c r="H22" s="504">
        <v>0</v>
      </c>
      <c r="I22" s="153">
        <f>E22*H22</f>
        <v>0</v>
      </c>
      <c r="K22" s="34"/>
    </row>
    <row r="23" spans="1:11" ht="3.95" customHeight="1" x14ac:dyDescent="0.2">
      <c r="C23" s="1"/>
      <c r="D23" s="139"/>
      <c r="E23" s="126"/>
      <c r="H23" s="503"/>
      <c r="I23" s="126"/>
      <c r="K23" s="34"/>
    </row>
    <row r="24" spans="1:11" s="10" customFormat="1" ht="12.95" customHeight="1" x14ac:dyDescent="0.2">
      <c r="A24" s="645">
        <v>6</v>
      </c>
      <c r="B24" s="645"/>
      <c r="C24" s="76" t="s">
        <v>28</v>
      </c>
      <c r="D24" s="138">
        <f>E24/$E$32</f>
        <v>1.6E-2</v>
      </c>
      <c r="E24" s="153">
        <f>_6</f>
        <v>65000</v>
      </c>
      <c r="F24" s="72"/>
      <c r="G24" s="72"/>
      <c r="H24" s="504">
        <v>0</v>
      </c>
      <c r="I24" s="153">
        <f>E24*H24</f>
        <v>0</v>
      </c>
      <c r="K24" s="34"/>
    </row>
    <row r="25" spans="1:11" ht="3.95" customHeight="1" x14ac:dyDescent="0.2">
      <c r="B25" s="13"/>
      <c r="C25" s="1"/>
      <c r="D25" s="142"/>
      <c r="E25" s="126"/>
      <c r="H25" s="503"/>
      <c r="I25" s="126"/>
      <c r="K25" s="34"/>
    </row>
    <row r="26" spans="1:11" s="11" customFormat="1" ht="12.95" customHeight="1" x14ac:dyDescent="0.2">
      <c r="A26" s="645">
        <v>7</v>
      </c>
      <c r="B26" s="645"/>
      <c r="C26" s="76" t="s">
        <v>145</v>
      </c>
      <c r="D26" s="138">
        <f>E26/$E$32</f>
        <v>0.185</v>
      </c>
      <c r="E26" s="153">
        <f>_7</f>
        <v>750000</v>
      </c>
      <c r="F26" s="72"/>
      <c r="G26" s="72"/>
      <c r="H26" s="504">
        <v>0</v>
      </c>
      <c r="I26" s="153">
        <f>E26*H26</f>
        <v>0</v>
      </c>
      <c r="K26" s="34"/>
    </row>
    <row r="27" spans="1:11" ht="3.95" customHeight="1" x14ac:dyDescent="0.2">
      <c r="C27" s="1"/>
      <c r="D27" s="142"/>
      <c r="E27" s="126"/>
      <c r="H27" s="503"/>
      <c r="I27" s="126"/>
      <c r="K27" s="34"/>
    </row>
    <row r="28" spans="1:11" s="11" customFormat="1" ht="12.95" customHeight="1" x14ac:dyDescent="0.2">
      <c r="A28" s="645">
        <v>8</v>
      </c>
      <c r="B28" s="645"/>
      <c r="C28" s="76" t="s">
        <v>202</v>
      </c>
      <c r="D28" s="138">
        <f>E28/$E$32</f>
        <v>1E-3</v>
      </c>
      <c r="E28" s="153">
        <f>_8</f>
        <v>3600</v>
      </c>
      <c r="F28" s="72"/>
      <c r="G28" s="72"/>
      <c r="H28" s="504">
        <v>0</v>
      </c>
      <c r="I28" s="153">
        <f>E28*H28</f>
        <v>0</v>
      </c>
      <c r="K28" s="34"/>
    </row>
    <row r="29" spans="1:11" ht="3.95" customHeight="1" x14ac:dyDescent="0.2">
      <c r="C29" s="1"/>
      <c r="D29" s="142"/>
      <c r="E29" s="126"/>
      <c r="H29" s="506"/>
      <c r="I29" s="126"/>
      <c r="K29" s="158"/>
    </row>
    <row r="30" spans="1:11" s="11" customFormat="1" ht="12.95" customHeight="1" x14ac:dyDescent="0.2">
      <c r="A30" s="645">
        <v>9</v>
      </c>
      <c r="B30" s="645"/>
      <c r="C30" s="76" t="s">
        <v>31</v>
      </c>
      <c r="D30" s="138">
        <f>E30/$E$32</f>
        <v>5.5E-2</v>
      </c>
      <c r="E30" s="153">
        <f>_9</f>
        <v>225000</v>
      </c>
      <c r="F30" s="72"/>
      <c r="G30" s="72"/>
      <c r="H30" s="504">
        <v>0.1</v>
      </c>
      <c r="I30" s="153">
        <f>E30*H30</f>
        <v>22500</v>
      </c>
      <c r="K30" s="34"/>
    </row>
    <row r="31" spans="1:11" ht="12" customHeight="1" x14ac:dyDescent="0.2">
      <c r="B31" s="13"/>
      <c r="C31" s="5"/>
      <c r="D31" s="32"/>
      <c r="I31" s="1"/>
      <c r="K31" s="1"/>
    </row>
    <row r="32" spans="1:11" ht="12.95" customHeight="1" x14ac:dyDescent="0.25">
      <c r="A32" s="113" t="s">
        <v>56</v>
      </c>
      <c r="B32" s="114"/>
      <c r="C32" s="114"/>
      <c r="D32" s="116">
        <f>SUM(D6:D30)</f>
        <v>1</v>
      </c>
      <c r="E32" s="90">
        <f>_EK</f>
        <v>4058600</v>
      </c>
      <c r="F32" s="64"/>
      <c r="G32" s="64"/>
      <c r="H32" s="182"/>
      <c r="I32" s="22"/>
      <c r="K32" s="22"/>
    </row>
    <row r="33" spans="1:12" ht="3.95" customHeight="1" x14ac:dyDescent="0.25">
      <c r="B33" s="265"/>
      <c r="D33" s="32"/>
      <c r="F33" s="9"/>
      <c r="G33" s="9"/>
      <c r="I33" s="1"/>
      <c r="K33" s="22"/>
    </row>
    <row r="34" spans="1:12" ht="12.95" customHeight="1" x14ac:dyDescent="0.2">
      <c r="A34" s="645"/>
      <c r="B34" s="645"/>
      <c r="C34" s="75" t="s">
        <v>57</v>
      </c>
      <c r="D34" s="138"/>
      <c r="E34" s="153">
        <f>_mvB</f>
        <v>120000</v>
      </c>
      <c r="F34" s="72"/>
      <c r="G34" s="72"/>
      <c r="H34" s="105">
        <v>1</v>
      </c>
      <c r="I34" s="153">
        <f>E34*H34</f>
        <v>120000</v>
      </c>
      <c r="K34" s="22"/>
    </row>
    <row r="35" spans="1:12" ht="6" customHeight="1" x14ac:dyDescent="0.2">
      <c r="F35" s="32"/>
      <c r="H35" s="8"/>
      <c r="I35" s="9"/>
    </row>
    <row r="36" spans="1:12" s="14" customFormat="1" ht="12.95" customHeight="1" x14ac:dyDescent="0.3">
      <c r="A36" s="198" t="s">
        <v>58</v>
      </c>
      <c r="B36" s="199"/>
      <c r="C36" s="199"/>
      <c r="D36" s="199"/>
      <c r="E36" s="205"/>
      <c r="F36" s="205"/>
      <c r="G36" s="205"/>
      <c r="H36" s="206"/>
      <c r="I36" s="207">
        <f>SUM(I6:I34)</f>
        <v>3047500</v>
      </c>
      <c r="K36" s="607"/>
    </row>
    <row r="37" spans="1:12" ht="6" customHeight="1" x14ac:dyDescent="0.2">
      <c r="A37" s="163"/>
      <c r="B37" s="163"/>
      <c r="C37" s="163"/>
      <c r="D37" s="163"/>
      <c r="E37" s="163"/>
      <c r="F37" s="163"/>
      <c r="G37" s="163"/>
      <c r="H37" s="8"/>
      <c r="I37" s="183"/>
    </row>
    <row r="38" spans="1:12" ht="12.75" customHeight="1" x14ac:dyDescent="0.2">
      <c r="A38" s="161" t="s">
        <v>203</v>
      </c>
      <c r="B38" s="161"/>
      <c r="C38" s="161"/>
      <c r="D38" s="162"/>
      <c r="E38" s="162"/>
      <c r="F38" s="162"/>
      <c r="G38" s="162"/>
      <c r="H38" s="161"/>
      <c r="I38" s="267"/>
      <c r="K38" s="164"/>
    </row>
    <row r="39" spans="1:12" ht="6.75" customHeight="1" x14ac:dyDescent="0.2">
      <c r="A39" s="163"/>
      <c r="B39" s="163"/>
      <c r="C39" s="163"/>
      <c r="D39" s="163"/>
      <c r="E39" s="163"/>
      <c r="F39" s="163"/>
      <c r="G39" s="8"/>
      <c r="H39" s="183"/>
    </row>
    <row r="40" spans="1:12" ht="12.75" customHeight="1" x14ac:dyDescent="0.2">
      <c r="A40" s="164" t="s">
        <v>106</v>
      </c>
      <c r="B40" s="163"/>
      <c r="C40" s="163"/>
      <c r="D40" s="163"/>
      <c r="E40" s="163"/>
      <c r="F40" s="163"/>
      <c r="H40" s="8"/>
      <c r="I40" s="183"/>
    </row>
    <row r="41" spans="1:12" ht="12.75" customHeight="1" x14ac:dyDescent="0.2">
      <c r="A41" s="18"/>
      <c r="B41" s="18"/>
      <c r="C41" s="18"/>
      <c r="E41" s="165" t="s">
        <v>60</v>
      </c>
      <c r="F41" s="166" t="s">
        <v>61</v>
      </c>
      <c r="H41" s="653" t="s">
        <v>107</v>
      </c>
      <c r="I41" s="653"/>
      <c r="K41" s="248"/>
    </row>
    <row r="42" spans="1:12" ht="12.75" customHeight="1" x14ac:dyDescent="0.2">
      <c r="B42" s="19" t="s">
        <v>63</v>
      </c>
      <c r="C42" s="41"/>
      <c r="D42" s="35"/>
      <c r="E42" s="118">
        <v>19</v>
      </c>
      <c r="F42" s="167" t="s">
        <v>129</v>
      </c>
      <c r="H42" s="492"/>
      <c r="I42" s="493"/>
      <c r="K42" s="248"/>
    </row>
    <row r="43" spans="1:12" ht="12.75" customHeight="1" x14ac:dyDescent="0.2">
      <c r="B43" s="20" t="s">
        <v>65</v>
      </c>
      <c r="C43" s="42"/>
      <c r="D43" s="36"/>
      <c r="E43" s="119">
        <v>1</v>
      </c>
      <c r="F43" s="168" t="s">
        <v>66</v>
      </c>
      <c r="H43" s="494"/>
      <c r="I43" s="495"/>
      <c r="K43" s="248"/>
      <c r="L43" s="635"/>
    </row>
    <row r="44" spans="1:12" ht="12.75" customHeight="1" x14ac:dyDescent="0.2">
      <c r="B44" s="20" t="s">
        <v>67</v>
      </c>
      <c r="C44" s="42"/>
      <c r="D44" s="36"/>
      <c r="E44" s="119">
        <v>1</v>
      </c>
      <c r="F44" s="168" t="s">
        <v>66</v>
      </c>
      <c r="H44" s="494"/>
      <c r="I44" s="495"/>
      <c r="K44" s="248"/>
    </row>
    <row r="45" spans="1:12" ht="12.75" customHeight="1" x14ac:dyDescent="0.2">
      <c r="B45" s="20" t="s">
        <v>68</v>
      </c>
      <c r="C45" s="36"/>
      <c r="D45" s="36"/>
      <c r="E45" s="119">
        <v>1</v>
      </c>
      <c r="F45" s="168" t="s">
        <v>66</v>
      </c>
      <c r="H45" s="496"/>
      <c r="I45" s="497"/>
      <c r="K45" s="40"/>
    </row>
    <row r="46" spans="1:12" ht="4.5" customHeight="1" x14ac:dyDescent="0.2">
      <c r="A46" s="18"/>
      <c r="B46" s="18"/>
      <c r="C46" s="18"/>
      <c r="E46" s="169"/>
      <c r="F46" s="169"/>
      <c r="G46" s="8"/>
      <c r="H46" s="495"/>
      <c r="I46" s="495"/>
      <c r="K46" s="40"/>
    </row>
    <row r="47" spans="1:12" ht="12.75" customHeight="1" x14ac:dyDescent="0.2">
      <c r="A47" s="18"/>
      <c r="B47" s="18"/>
      <c r="C47" s="437" t="s">
        <v>130</v>
      </c>
      <c r="D47" s="434"/>
      <c r="E47" s="119">
        <v>0</v>
      </c>
      <c r="F47" s="168" t="s">
        <v>70</v>
      </c>
      <c r="H47" s="494"/>
      <c r="I47" s="495"/>
      <c r="K47" s="40"/>
    </row>
    <row r="48" spans="1:12" ht="12.75" customHeight="1" x14ac:dyDescent="0.2">
      <c r="A48" s="18"/>
      <c r="B48" s="18"/>
      <c r="C48" s="437" t="s">
        <v>71</v>
      </c>
      <c r="D48" s="434"/>
      <c r="E48" s="119">
        <v>0</v>
      </c>
      <c r="F48" s="168" t="s">
        <v>72</v>
      </c>
      <c r="H48" s="496"/>
      <c r="I48" s="497"/>
      <c r="K48" s="40"/>
    </row>
    <row r="49" spans="1:11" ht="12.75" customHeight="1" x14ac:dyDescent="0.2">
      <c r="B49" s="18" t="s">
        <v>75</v>
      </c>
      <c r="C49" s="1"/>
      <c r="D49" s="170"/>
      <c r="E49" s="172">
        <f>SUM(E42:E46)</f>
        <v>22</v>
      </c>
      <c r="F49" s="171"/>
      <c r="G49" s="8"/>
      <c r="H49" s="245"/>
      <c r="K49" s="1"/>
    </row>
    <row r="50" spans="1:11" ht="12.95" customHeight="1" x14ac:dyDescent="0.2">
      <c r="B50" s="18"/>
      <c r="C50" s="1"/>
      <c r="D50" s="171"/>
      <c r="E50" s="171"/>
      <c r="F50" s="171"/>
      <c r="G50" s="8"/>
      <c r="H50" s="245"/>
      <c r="K50" s="1"/>
    </row>
    <row r="51" spans="1:11" ht="12.95" customHeight="1" x14ac:dyDescent="0.2">
      <c r="A51" s="164" t="s">
        <v>76</v>
      </c>
      <c r="B51" s="164"/>
      <c r="C51" s="163"/>
      <c r="D51" s="163"/>
      <c r="E51" s="163"/>
      <c r="F51" s="163"/>
      <c r="G51" s="268"/>
    </row>
    <row r="52" spans="1:11" ht="4.5" customHeight="1" x14ac:dyDescent="0.2">
      <c r="A52" s="164"/>
      <c r="B52" s="164"/>
      <c r="C52" s="164"/>
      <c r="D52" s="164"/>
      <c r="G52" s="8"/>
    </row>
    <row r="53" spans="1:11" ht="12.75" customHeight="1" x14ac:dyDescent="0.2">
      <c r="A53" s="173" t="s">
        <v>77</v>
      </c>
      <c r="B53" s="173"/>
      <c r="C53" s="1"/>
      <c r="E53" s="200">
        <f>I36</f>
        <v>3047500</v>
      </c>
      <c r="G53" s="654" t="str">
        <f>IF(E53&lt;500000,"! gemäß BP.9 (3): Wenn die Bemessungsgrundlage niedriger ist als 500.000 €, sollte der Ermittlungsweg über Abschätzung des Büro- / Personalaufwandes gewählt werden","")</f>
        <v/>
      </c>
      <c r="H53" s="654"/>
    </row>
    <row r="54" spans="1:11" ht="8.1" customHeight="1" x14ac:dyDescent="0.2">
      <c r="A54" s="18"/>
      <c r="B54" s="18"/>
      <c r="C54" s="18"/>
      <c r="D54" s="18"/>
      <c r="E54" s="170"/>
      <c r="G54" s="654"/>
      <c r="H54" s="654"/>
    </row>
    <row r="55" spans="1:11" ht="13.5" customHeight="1" x14ac:dyDescent="0.3">
      <c r="A55" s="23" t="s">
        <v>204</v>
      </c>
      <c r="B55" s="23"/>
      <c r="C55" s="23"/>
      <c r="E55" s="353">
        <f>0.013*E49+0.923</f>
        <v>1.21</v>
      </c>
      <c r="F55" s="122"/>
      <c r="G55" s="654"/>
      <c r="H55" s="654"/>
    </row>
    <row r="56" spans="1:11" ht="4.5" customHeight="1" x14ac:dyDescent="0.2">
      <c r="A56" s="18"/>
      <c r="B56" s="18"/>
      <c r="C56" s="18"/>
      <c r="E56" s="28"/>
      <c r="F56" s="122"/>
      <c r="G56" s="654"/>
      <c r="H56" s="654"/>
    </row>
    <row r="57" spans="1:11" s="110" customFormat="1" ht="18" customHeight="1" x14ac:dyDescent="0.25">
      <c r="A57" s="18" t="s">
        <v>205</v>
      </c>
      <c r="B57" s="18"/>
      <c r="C57" s="18"/>
      <c r="E57" s="232">
        <f>ROUND(506.2538*E53^(-0.5074)*E55/100,6)</f>
        <v>3.1419999999999998E-3</v>
      </c>
      <c r="F57" s="563" t="s">
        <v>80</v>
      </c>
      <c r="G57" s="654"/>
      <c r="H57" s="654"/>
      <c r="I57" s="214"/>
      <c r="J57" s="269"/>
      <c r="K57" s="269"/>
    </row>
    <row r="58" spans="1:11" ht="13.5" customHeight="1" x14ac:dyDescent="0.2">
      <c r="A58" s="18" t="s">
        <v>193</v>
      </c>
      <c r="B58" s="18"/>
      <c r="C58" s="18"/>
      <c r="E58" s="274">
        <v>0</v>
      </c>
      <c r="F58" s="208"/>
      <c r="G58" s="654"/>
      <c r="H58" s="654"/>
    </row>
    <row r="59" spans="1:11" ht="8.1" customHeight="1" x14ac:dyDescent="0.2">
      <c r="A59" s="18"/>
      <c r="B59" s="18"/>
      <c r="C59" s="18"/>
      <c r="E59" s="174"/>
      <c r="F59" s="174"/>
      <c r="G59" s="654"/>
      <c r="H59" s="654"/>
    </row>
    <row r="60" spans="1:11" ht="15" customHeight="1" x14ac:dyDescent="0.3">
      <c r="A60" s="21" t="s">
        <v>206</v>
      </c>
      <c r="B60" s="19"/>
      <c r="C60" s="19"/>
      <c r="D60" s="175"/>
      <c r="E60" s="176"/>
      <c r="F60" s="271">
        <f>E53*E57*(1+E58)</f>
        <v>9575</v>
      </c>
      <c r="H60" s="9"/>
    </row>
    <row r="61" spans="1:11" ht="6" customHeight="1" x14ac:dyDescent="0.2">
      <c r="A61" s="23"/>
      <c r="B61" s="18"/>
      <c r="C61" s="18"/>
      <c r="D61" s="163"/>
      <c r="E61" s="163"/>
      <c r="F61" s="163"/>
      <c r="G61" s="177"/>
      <c r="H61" s="177"/>
    </row>
    <row r="62" spans="1:11" ht="12.95" customHeight="1" x14ac:dyDescent="0.2">
      <c r="A62" s="23"/>
      <c r="B62" s="18"/>
      <c r="C62" s="18"/>
      <c r="D62" s="337" t="s">
        <v>84</v>
      </c>
      <c r="E62" s="338" t="s">
        <v>60</v>
      </c>
      <c r="F62" s="177"/>
      <c r="J62" s="29"/>
    </row>
    <row r="63" spans="1:11" ht="12.75" customHeight="1" x14ac:dyDescent="0.25">
      <c r="A63" s="163" t="s">
        <v>139</v>
      </c>
      <c r="B63" s="163"/>
      <c r="C63" s="178"/>
      <c r="D63" s="339">
        <v>0.03</v>
      </c>
      <c r="E63" s="224">
        <v>0.03</v>
      </c>
      <c r="F63" s="234">
        <f t="shared" ref="F63:F72" si="1">$F$60*E63</f>
        <v>287</v>
      </c>
      <c r="J63"/>
    </row>
    <row r="64" spans="1:11" ht="12.75" customHeight="1" x14ac:dyDescent="0.25">
      <c r="A64" s="163" t="s">
        <v>86</v>
      </c>
      <c r="B64" s="163"/>
      <c r="C64" s="178"/>
      <c r="D64" s="339">
        <v>0.17</v>
      </c>
      <c r="E64" s="225">
        <v>0.17</v>
      </c>
      <c r="F64" s="234">
        <f t="shared" si="1"/>
        <v>1628</v>
      </c>
      <c r="J64"/>
    </row>
    <row r="65" spans="1:14" ht="12.75" customHeight="1" x14ac:dyDescent="0.25">
      <c r="A65" s="163" t="s">
        <v>87</v>
      </c>
      <c r="B65" s="163"/>
      <c r="C65" s="178"/>
      <c r="D65" s="339">
        <v>0.35</v>
      </c>
      <c r="E65" s="225">
        <v>0.35</v>
      </c>
      <c r="F65" s="234">
        <f t="shared" si="1"/>
        <v>3351</v>
      </c>
      <c r="J65"/>
    </row>
    <row r="66" spans="1:14" ht="12.75" customHeight="1" x14ac:dyDescent="0.25">
      <c r="A66" s="163" t="s">
        <v>88</v>
      </c>
      <c r="B66" s="163"/>
      <c r="C66" s="178"/>
      <c r="D66" s="339">
        <v>0.05</v>
      </c>
      <c r="E66" s="225">
        <v>0.05</v>
      </c>
      <c r="F66" s="234">
        <f t="shared" si="1"/>
        <v>479</v>
      </c>
      <c r="J66"/>
    </row>
    <row r="67" spans="1:14" ht="12.75" customHeight="1" x14ac:dyDescent="0.25">
      <c r="A67" s="163" t="s">
        <v>195</v>
      </c>
      <c r="B67" s="163"/>
      <c r="C67" s="178"/>
      <c r="D67" s="339">
        <v>0.27</v>
      </c>
      <c r="E67" s="225">
        <v>0.27</v>
      </c>
      <c r="F67" s="234">
        <f t="shared" si="1"/>
        <v>2585</v>
      </c>
      <c r="J67"/>
    </row>
    <row r="68" spans="1:14" ht="12.75" customHeight="1" x14ac:dyDescent="0.25">
      <c r="A68" s="163" t="s">
        <v>90</v>
      </c>
      <c r="B68" s="163"/>
      <c r="C68" s="178"/>
      <c r="D68" s="339">
        <v>0.02</v>
      </c>
      <c r="E68" s="225">
        <v>0.02</v>
      </c>
      <c r="F68" s="234">
        <f t="shared" si="1"/>
        <v>192</v>
      </c>
      <c r="J68"/>
    </row>
    <row r="69" spans="1:14" ht="12.75" customHeight="1" x14ac:dyDescent="0.25">
      <c r="A69" s="163" t="s">
        <v>196</v>
      </c>
      <c r="B69" s="163"/>
      <c r="C69" s="178"/>
      <c r="D69" s="339">
        <v>0.02</v>
      </c>
      <c r="E69" s="225">
        <v>0.02</v>
      </c>
      <c r="F69" s="234">
        <f t="shared" si="1"/>
        <v>192</v>
      </c>
      <c r="J69"/>
    </row>
    <row r="70" spans="1:14" ht="12.75" customHeight="1" x14ac:dyDescent="0.25">
      <c r="A70" s="163" t="s">
        <v>113</v>
      </c>
      <c r="B70" s="163"/>
      <c r="C70" s="178"/>
      <c r="D70" s="339">
        <v>0.09</v>
      </c>
      <c r="E70" s="225">
        <v>0.09</v>
      </c>
      <c r="F70" s="234">
        <f t="shared" si="1"/>
        <v>862</v>
      </c>
      <c r="J70"/>
    </row>
    <row r="71" spans="1:14" ht="12.75" customHeight="1" x14ac:dyDescent="0.25">
      <c r="A71" s="163" t="s">
        <v>197</v>
      </c>
      <c r="B71" s="163"/>
      <c r="C71" s="178"/>
      <c r="D71" s="339">
        <v>0</v>
      </c>
      <c r="E71" s="225">
        <v>0</v>
      </c>
      <c r="F71" s="234">
        <f t="shared" si="1"/>
        <v>0</v>
      </c>
      <c r="J71"/>
    </row>
    <row r="72" spans="1:14" ht="12.75" customHeight="1" x14ac:dyDescent="0.25">
      <c r="A72" s="175" t="s">
        <v>115</v>
      </c>
      <c r="B72" s="175"/>
      <c r="C72" s="180"/>
      <c r="D72" s="340">
        <v>0</v>
      </c>
      <c r="E72" s="226">
        <v>0</v>
      </c>
      <c r="F72" s="237">
        <f t="shared" si="1"/>
        <v>0</v>
      </c>
      <c r="G72" s="45"/>
      <c r="H72" s="45"/>
      <c r="I72" s="45"/>
      <c r="J72"/>
    </row>
    <row r="73" spans="1:14" s="16" customFormat="1" ht="18.600000000000001" customHeight="1" x14ac:dyDescent="0.2">
      <c r="A73" s="381" t="s">
        <v>116</v>
      </c>
      <c r="B73" s="382"/>
      <c r="C73" s="449"/>
      <c r="D73" s="627">
        <f>SUM(D63:D72)</f>
        <v>1</v>
      </c>
      <c r="E73" s="383">
        <f>SUM(E63:E72)</f>
        <v>1</v>
      </c>
      <c r="F73" s="372">
        <f>SUM(F63:F72)</f>
        <v>9576</v>
      </c>
      <c r="G73" s="177"/>
      <c r="I73" s="8"/>
      <c r="J73" s="31"/>
    </row>
    <row r="74" spans="1:14" ht="12.75" customHeight="1" x14ac:dyDescent="0.25">
      <c r="A74" s="641" t="s">
        <v>198</v>
      </c>
      <c r="B74" s="163"/>
      <c r="C74" s="178"/>
      <c r="D74" s="339">
        <v>0.02</v>
      </c>
      <c r="E74" s="363">
        <v>0</v>
      </c>
      <c r="F74" s="183">
        <f>$F$60*E74</f>
        <v>0</v>
      </c>
      <c r="J74"/>
      <c r="K74" s="1"/>
    </row>
    <row r="75" spans="1:14" ht="12.75" customHeight="1" x14ac:dyDescent="0.25">
      <c r="A75" s="640" t="s">
        <v>257</v>
      </c>
      <c r="B75" s="175"/>
      <c r="C75" s="180"/>
      <c r="D75" s="340">
        <v>0.02</v>
      </c>
      <c r="E75" s="226">
        <v>0</v>
      </c>
      <c r="F75" s="184">
        <f>$F$60*E75</f>
        <v>0</v>
      </c>
      <c r="G75" s="45"/>
      <c r="H75" s="45"/>
      <c r="I75" s="45"/>
      <c r="J75"/>
      <c r="K75" s="1"/>
    </row>
    <row r="76" spans="1:14" ht="13.5" customHeight="1" x14ac:dyDescent="0.2">
      <c r="A76" s="649" t="s">
        <v>252</v>
      </c>
      <c r="B76" s="649"/>
      <c r="C76" s="649"/>
      <c r="D76" s="254">
        <f>SUM(D73:D75)</f>
        <v>1.04</v>
      </c>
      <c r="E76" s="501">
        <f>E73+SUM(E74:E75)</f>
        <v>1</v>
      </c>
      <c r="F76" s="342">
        <f>F73+SUM(F74:F75)</f>
        <v>9576</v>
      </c>
      <c r="G76" s="177"/>
      <c r="H76" s="8"/>
      <c r="I76" s="99">
        <f>F76</f>
        <v>9576</v>
      </c>
      <c r="J76" s="1"/>
    </row>
    <row r="77" spans="1:14" ht="12.75" customHeight="1" x14ac:dyDescent="0.25">
      <c r="E77" s="108"/>
      <c r="H77" s="8"/>
      <c r="I77"/>
      <c r="J77" s="1"/>
    </row>
    <row r="78" spans="1:14" ht="12.75" customHeight="1" x14ac:dyDescent="0.25">
      <c r="A78" s="33" t="s">
        <v>98</v>
      </c>
      <c r="E78" s="230">
        <v>0</v>
      </c>
      <c r="F78" s="231">
        <v>0</v>
      </c>
      <c r="H78" s="8"/>
      <c r="I78" s="99">
        <f>E78*F78</f>
        <v>0</v>
      </c>
      <c r="J78" s="1"/>
      <c r="L78"/>
      <c r="M78"/>
      <c r="N78"/>
    </row>
    <row r="79" spans="1:14" ht="12.75" customHeight="1" x14ac:dyDescent="0.25">
      <c r="F79" s="108"/>
      <c r="H79" s="8"/>
      <c r="I79"/>
      <c r="J79" s="1"/>
    </row>
    <row r="80" spans="1:14" s="23" customFormat="1" ht="12.75" x14ac:dyDescent="0.2">
      <c r="A80" s="94" t="s">
        <v>207</v>
      </c>
      <c r="B80" s="95"/>
      <c r="C80" s="96"/>
      <c r="D80" s="96"/>
      <c r="E80" s="98"/>
      <c r="F80" s="109"/>
      <c r="G80" s="97"/>
      <c r="H80" s="97"/>
      <c r="I80" s="99">
        <f>I76+I78</f>
        <v>9576</v>
      </c>
    </row>
    <row r="81" spans="1:10" s="23" customFormat="1" ht="4.5" customHeight="1" x14ac:dyDescent="0.2">
      <c r="B81" s="24"/>
      <c r="C81" s="25"/>
      <c r="D81" s="25"/>
      <c r="E81" s="47"/>
      <c r="F81" s="219"/>
      <c r="I81" s="91"/>
    </row>
    <row r="82" spans="1:10" s="23" customFormat="1" ht="12.75" x14ac:dyDescent="0.2">
      <c r="A82" s="49" t="s">
        <v>40</v>
      </c>
      <c r="B82" s="24"/>
      <c r="C82" s="25"/>
      <c r="D82" s="25"/>
      <c r="E82" s="47"/>
      <c r="F82" s="220">
        <v>0.04</v>
      </c>
      <c r="I82" s="92">
        <f>ROUND(I80*F82,2)</f>
        <v>383</v>
      </c>
    </row>
    <row r="83" spans="1:10" s="23" customFormat="1" ht="3" customHeight="1" x14ac:dyDescent="0.2">
      <c r="A83" s="50"/>
      <c r="B83" s="51"/>
      <c r="C83" s="52"/>
      <c r="D83" s="52"/>
      <c r="E83" s="56"/>
      <c r="F83" s="221"/>
      <c r="G83" s="50"/>
      <c r="H83" s="50"/>
      <c r="I83" s="93"/>
    </row>
    <row r="84" spans="1:10" s="23" customFormat="1" ht="3" customHeight="1" x14ac:dyDescent="0.2">
      <c r="B84" s="24"/>
      <c r="C84" s="25"/>
      <c r="D84" s="25"/>
      <c r="E84" s="58"/>
      <c r="F84" s="222"/>
      <c r="G84" s="59"/>
      <c r="H84" s="59"/>
      <c r="I84" s="91"/>
    </row>
    <row r="85" spans="1:10" s="23" customFormat="1" ht="12.75" x14ac:dyDescent="0.2">
      <c r="A85" s="53" t="s">
        <v>208</v>
      </c>
      <c r="B85" s="54"/>
      <c r="C85" s="55"/>
      <c r="D85" s="55"/>
      <c r="E85" s="26"/>
      <c r="F85" s="219"/>
      <c r="I85" s="92">
        <f>I80+I82</f>
        <v>9959</v>
      </c>
    </row>
    <row r="86" spans="1:10" s="23" customFormat="1" ht="12.75" x14ac:dyDescent="0.2">
      <c r="A86" s="23" t="s">
        <v>48</v>
      </c>
      <c r="B86" s="24"/>
      <c r="D86" s="25"/>
      <c r="E86" s="26"/>
      <c r="F86" s="27">
        <v>0.2</v>
      </c>
      <c r="I86" s="92">
        <f>ROUND(I85*F86,2)</f>
        <v>1992</v>
      </c>
    </row>
    <row r="87" spans="1:10" s="23" customFormat="1" ht="3" customHeight="1" x14ac:dyDescent="0.2">
      <c r="B87" s="24"/>
      <c r="C87" s="25"/>
      <c r="D87" s="25"/>
      <c r="E87" s="26"/>
      <c r="F87" s="48"/>
      <c r="I87" s="91"/>
    </row>
    <row r="88" spans="1:10" s="23" customFormat="1" ht="12.75" x14ac:dyDescent="0.2">
      <c r="A88" s="191" t="s">
        <v>209</v>
      </c>
      <c r="B88" s="201"/>
      <c r="C88" s="192"/>
      <c r="D88" s="192"/>
      <c r="E88" s="194"/>
      <c r="F88" s="195"/>
      <c r="G88" s="193"/>
      <c r="H88" s="193"/>
      <c r="I88" s="196">
        <f>SUM(I84:I86)</f>
        <v>11951</v>
      </c>
    </row>
    <row r="89" spans="1:10" ht="5.0999999999999996" customHeight="1" x14ac:dyDescent="0.2">
      <c r="I89" s="9"/>
      <c r="J89" s="1"/>
    </row>
    <row r="90" spans="1:10" ht="12.75" x14ac:dyDescent="0.2">
      <c r="A90" s="203" t="s">
        <v>120</v>
      </c>
      <c r="F90" s="270">
        <f>I85/E32</f>
        <v>2.454E-3</v>
      </c>
      <c r="I90" s="9"/>
      <c r="J90" s="1"/>
    </row>
  </sheetData>
  <sheetProtection algorithmName="SHA-512" hashValue="8yibKP5MC78r1NXEkeEZohL2x1EGxYEn/S4Z6RObrqMST0BfgETq54CEGo4ISfgAJdF8TrniONiK54RqwriIBg==" saltValue="JxsOtp9JTn/sIWorZZ61kg==" spinCount="100000" sheet="1" objects="1" scenarios="1"/>
  <mergeCells count="14">
    <mergeCell ref="A76:C76"/>
    <mergeCell ref="A6:B6"/>
    <mergeCell ref="A8:B8"/>
    <mergeCell ref="A10:B10"/>
    <mergeCell ref="H2:I2"/>
    <mergeCell ref="A24:B24"/>
    <mergeCell ref="A20:B20"/>
    <mergeCell ref="A22:B22"/>
    <mergeCell ref="A26:B26"/>
    <mergeCell ref="A28:B28"/>
    <mergeCell ref="A30:B30"/>
    <mergeCell ref="A34:B34"/>
    <mergeCell ref="G53:H59"/>
    <mergeCell ref="H41:I41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&amp;L&amp;"Arial,Fett"&amp;K01+026Angebot Generalplaner gesamt  (GP 2a + PL + ÖBA)
&amp;"Arial,Standard"(TA Anlagengruppen gesamt)
nach VM.GP.2023&amp;R&amp;"Arial,Standard"&amp;K01+027Version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Scroll Bar 1">
              <controlPr locked="0" defaultSize="0" autoPict="0">
                <anchor moveWithCells="1">
                  <from>
                    <xdr:col>7</xdr:col>
                    <xdr:colOff>38100</xdr:colOff>
                    <xdr:row>41</xdr:row>
                    <xdr:rowOff>19050</xdr:rowOff>
                  </from>
                  <to>
                    <xdr:col>8</xdr:col>
                    <xdr:colOff>1057275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19050</xdr:rowOff>
                  </from>
                  <to>
                    <xdr:col>8</xdr:col>
                    <xdr:colOff>1057275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1057275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Scroll Bar 4">
              <controlPr locked="0"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1057275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8" name="Scroll Bar 9">
              <controlPr locked="0"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1047750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9" name="Scroll Bar 10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1047750</xdr:colOff>
                    <xdr:row>47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4aaf4c1d-73e8-499c-b94c-0a773b569d1d">
      <Terms xmlns="http://schemas.microsoft.com/office/infopath/2007/PartnerControls"/>
    </lcf76f155ced4ddcb4097134ff3c332f>
    <TaxCatchAll xmlns="024e642b-e02e-415c-81e5-d34c03fad083" xsi:nil="true"/>
    <_dlc_DocId xmlns="024e642b-e02e-415c-81e5-d34c03fad083">H7HRAY4WTWX5-968082496-103461</_dlc_DocId>
    <_dlc_DocIdUrl xmlns="024e642b-e02e-415c-81e5-d34c03fad083">
      <Url>https://hlechner.sharepoint.com/sites/filetest/_layouts/15/DocIdRedir.aspx?ID=H7HRAY4WTWX5-968082496-103461</Url>
      <Description>H7HRAY4WTWX5-968082496-103461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E77F43C0592E4EB9B74EB0144487D1" ma:contentTypeVersion="18" ma:contentTypeDescription="Ein neues Dokument erstellen." ma:contentTypeScope="" ma:versionID="788fc8d3800394aa6457ba4358c8c3f3">
  <xsd:schema xmlns:xsd="http://www.w3.org/2001/XMLSchema" xmlns:xs="http://www.w3.org/2001/XMLSchema" xmlns:p="http://schemas.microsoft.com/office/2006/metadata/properties" xmlns:ns2="024e642b-e02e-415c-81e5-d34c03fad083" xmlns:ns3="4aaf4c1d-73e8-499c-b94c-0a773b569d1d" xmlns:ns4="http://schemas.microsoft.com/sharepoint/v4" targetNamespace="http://schemas.microsoft.com/office/2006/metadata/properties" ma:root="true" ma:fieldsID="7e263db2212bcb6909f5da69aaaf0583" ns2:_="" ns3:_="" ns4:_="">
    <xsd:import namespace="024e642b-e02e-415c-81e5-d34c03fad083"/>
    <xsd:import namespace="4aaf4c1d-73e8-499c-b94c-0a773b569d1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IconOverlay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e642b-e02e-415c-81e5-d34c03fad08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710a861-5000-42ef-bd15-7c1f3afe8af3}" ma:internalName="TaxCatchAll" ma:showField="CatchAllData" ma:web="024e642b-e02e-415c-81e5-d34c03fad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f4c1d-73e8-499c-b94c-0a773b569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435170ad-194d-46cc-a18b-9c35de00e7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C6420-E468-4A1E-99B3-EE2A0F295CD9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4aaf4c1d-73e8-499c-b94c-0a773b569d1d"/>
    <ds:schemaRef ds:uri="024e642b-e02e-415c-81e5-d34c03fad083"/>
  </ds:schemaRefs>
</ds:datastoreItem>
</file>

<file path=customXml/itemProps2.xml><?xml version="1.0" encoding="utf-8"?>
<ds:datastoreItem xmlns:ds="http://schemas.openxmlformats.org/officeDocument/2006/customXml" ds:itemID="{E05E8018-A1B3-4609-BA9C-A95FCA0CD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941E25-8DA4-44DA-B23C-3228CF606DD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8BD694F-583B-4643-8CAA-02974EF56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4e642b-e02e-415c-81e5-d34c03fad083"/>
    <ds:schemaRef ds:uri="4aaf4c1d-73e8-499c-b94c-0a773b569d1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43</vt:i4>
      </vt:variant>
    </vt:vector>
  </HeadingPairs>
  <TitlesOfParts>
    <vt:vector size="55" baseType="lpstr">
      <vt:lpstr>Summenblatt</vt:lpstr>
      <vt:lpstr>GP2aNEU</vt:lpstr>
      <vt:lpstr>BauKG</vt:lpstr>
      <vt:lpstr>Objektplanung Architektur</vt:lpstr>
      <vt:lpstr>ED zusammen</vt:lpstr>
      <vt:lpstr>Freianlagen</vt:lpstr>
      <vt:lpstr>Tragwerksplanung</vt:lpstr>
      <vt:lpstr>BPH-Thermisch</vt:lpstr>
      <vt:lpstr>BPH-Schallschutz</vt:lpstr>
      <vt:lpstr>BPH-Raumakustik</vt:lpstr>
      <vt:lpstr>TA_ges</vt:lpstr>
      <vt:lpstr>Brandschutz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_GP2aNeu</vt:lpstr>
      <vt:lpstr>_mvB</vt:lpstr>
      <vt:lpstr>BauKG!Druckbereich</vt:lpstr>
      <vt:lpstr>'BPH-Raumakustik'!Druckbereich</vt:lpstr>
      <vt:lpstr>'BPH-Schallschutz'!Druckbereich</vt:lpstr>
      <vt:lpstr>'BPH-Thermisch'!Druckbereich</vt:lpstr>
      <vt:lpstr>Brandschutz!Druckbereich</vt:lpstr>
      <vt:lpstr>'ED zusammen'!Druckbereich</vt:lpstr>
      <vt:lpstr>Freianlagen!Druckbereich</vt:lpstr>
      <vt:lpstr>GP2aNEU!Druckbereich</vt:lpstr>
      <vt:lpstr>'Objektplanung Architektur'!Druckbereich</vt:lpstr>
      <vt:lpstr>Summenblatt!Druckbereich</vt:lpstr>
      <vt:lpstr>TA_ges!Druckbereich</vt:lpstr>
      <vt:lpstr>Tragwerksplanung!Druckbereich</vt:lpstr>
      <vt:lpstr>BauKG!Drucktitel</vt:lpstr>
      <vt:lpstr>'BPH-Raumakustik'!Drucktitel</vt:lpstr>
      <vt:lpstr>'BPH-Schallschutz'!Drucktitel</vt:lpstr>
      <vt:lpstr>'ED zusammen'!Drucktitel</vt:lpstr>
      <vt:lpstr>Freianlagen!Drucktitel</vt:lpstr>
      <vt:lpstr>GP2aNEU!Drucktitel</vt:lpstr>
      <vt:lpstr>'Objektplanung Architektur'!Drucktitel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Kienbeck Kerstin</dc:creator>
  <cp:keywords/>
  <dc:description/>
  <cp:lastModifiedBy>Brauneis Helmut</cp:lastModifiedBy>
  <cp:revision/>
  <cp:lastPrinted>2023-11-17T10:15:43Z</cp:lastPrinted>
  <dcterms:created xsi:type="dcterms:W3CDTF">2009-05-04T08:45:42Z</dcterms:created>
  <dcterms:modified xsi:type="dcterms:W3CDTF">2023-12-14T14:47:09Z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0x010100B1E77F43C0592E4EB9B74EB0144487D1</vt:lpwstr>
  </property>
  <property fmtid="{D5CDD505-2E9C-101B-9397-08002B2CF9AE}" pid="3" name="_dlc_DocIdItemGuid">
    <vt:lpwstr>bff56a63-b842-466b-821a-99299842dbce</vt:lpwstr>
  </property>
  <property fmtid="{D5CDD505-2E9C-101B-9397-08002B2CF9AE}" pid="4" name="MediaServiceImageTags">
    <vt:lpwstr/>
  </property>
</Properties>
</file>