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5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6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8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9.xml" ContentType="application/vnd.openxmlformats-officedocument.drawing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drawings/drawing10.xml" ContentType="application/vnd.openxmlformats-officedocument.drawing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11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drawings/drawing12.xml" ContentType="application/vnd.openxmlformats-officedocument.drawing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13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14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9AAF6132-E335-4A30-979C-39513A8B62D4}" xr6:coauthVersionLast="47" xr6:coauthVersionMax="47" xr10:uidLastSave="{00000000-0000-0000-0000-000000000000}"/>
  <bookViews>
    <workbookView xWindow="28680" yWindow="-120" windowWidth="29040" windowHeight="17640" tabRatio="914" activeTab="1" xr2:uid="{00000000-000D-0000-FFFF-FFFF00000000}"/>
  </bookViews>
  <sheets>
    <sheet name="Summenblatt" sheetId="87" r:id="rId1"/>
    <sheet name="GP2b Mgt. NEU" sheetId="56" r:id="rId2"/>
    <sheet name="BauKG" sheetId="93" r:id="rId3"/>
    <sheet name="Objektplanung Architektur" sheetId="94" r:id="rId4"/>
    <sheet name="ED zusammen 2023" sheetId="95" r:id="rId5"/>
    <sheet name="Freianlagen" sheetId="96" r:id="rId6"/>
    <sheet name="Tragwerksplanung" sheetId="97" r:id="rId7"/>
    <sheet name="BPH-Thermisch" sheetId="98" r:id="rId8"/>
    <sheet name="BPH-Schallschutz" sheetId="99" r:id="rId9"/>
    <sheet name="BPH-Raumakustik" sheetId="100" r:id="rId10"/>
    <sheet name="TA_SanitärHeizungKlimaLüftung" sheetId="102" r:id="rId11"/>
    <sheet name="TA_Elektro" sheetId="103" r:id="rId12"/>
    <sheet name="TA_Fördertechnik" sheetId="104" r:id="rId13"/>
    <sheet name="TA_Gebäudeautomation" sheetId="105" r:id="rId14"/>
    <sheet name="Brandschutz" sheetId="106" r:id="rId15"/>
  </sheets>
  <definedNames>
    <definedName name="_1">Summenblatt!$I$7</definedName>
    <definedName name="_1_9" comment="KB 1-9 = Errichtungskosten">Summenblatt!$I$38</definedName>
    <definedName name="_2">Summenblatt!$I$9</definedName>
    <definedName name="_3">Summenblatt!$I$11</definedName>
    <definedName name="_3.01">Summenblatt!$I$12</definedName>
    <definedName name="_3.02">Summenblatt!$I$13</definedName>
    <definedName name="_3.03">Summenblatt!$I$14</definedName>
    <definedName name="_3.04">Summenblatt!$I$15</definedName>
    <definedName name="_3.05">Summenblatt!$I$16</definedName>
    <definedName name="_3.06">Summenblatt!$I$17</definedName>
    <definedName name="_3.07">Summenblatt!$I$18</definedName>
    <definedName name="_3.08">Summenblatt!$I$19</definedName>
    <definedName name="_4">Summenblatt!$I$21</definedName>
    <definedName name="_5">Summenblatt!$I$23</definedName>
    <definedName name="_5.01">Summenblatt!$I$24</definedName>
    <definedName name="_5.02">Summenblatt!$I$25</definedName>
    <definedName name="_5.03">Summenblatt!$I$26</definedName>
    <definedName name="_6">Summenblatt!$I$28</definedName>
    <definedName name="_7">Summenblatt!$I$30</definedName>
    <definedName name="_8">Summenblatt!$I$32</definedName>
    <definedName name="_9">Summenblatt!$I$34</definedName>
    <definedName name="_EK">Summenblatt!$I$38</definedName>
    <definedName name="_mvB" comment="mitzuverarbeitende Bausubstanz">Summenblatt!$I$40</definedName>
    <definedName name="_xlnm.Print_Area" localSheetId="2">BauKG!$A$1:$I$89</definedName>
    <definedName name="_xlnm.Print_Area" localSheetId="9">'BPH-Raumakustik'!$A$1:$I$93</definedName>
    <definedName name="_xlnm.Print_Area" localSheetId="8">'BPH-Schallschutz'!$A$1:$I$92</definedName>
    <definedName name="_xlnm.Print_Area" localSheetId="7">'BPH-Thermisch'!$A$1:$I$92</definedName>
    <definedName name="_xlnm.Print_Area" localSheetId="14">Brandschutz!$A$1:$I$94</definedName>
    <definedName name="_xlnm.Print_Area" localSheetId="4">'ED zusammen 2023'!$A$1:$I$93</definedName>
    <definedName name="_xlnm.Print_Area" localSheetId="5">Freianlagen!$A$1:$I$87</definedName>
    <definedName name="_xlnm.Print_Area" localSheetId="1">'GP2b Mgt. NEU'!$A$1:$I$96</definedName>
    <definedName name="_xlnm.Print_Area" localSheetId="3">'Objektplanung Architektur'!$A$1:$I$100</definedName>
    <definedName name="_xlnm.Print_Area" localSheetId="0">Summenblatt!$A$1:$I$97</definedName>
    <definedName name="_xlnm.Print_Area" localSheetId="11">TA_Elektro!$A$1:$I$99</definedName>
    <definedName name="_xlnm.Print_Area" localSheetId="12">TA_Fördertechnik!$A$1:$I$99</definedName>
    <definedName name="_xlnm.Print_Area" localSheetId="13">TA_Gebäudeautomation!$A$1:$I$99</definedName>
    <definedName name="_xlnm.Print_Area" localSheetId="10">TA_SanitärHeizungKlimaLüftung!$A$1:$I$99</definedName>
    <definedName name="_xlnm.Print_Area" localSheetId="6">Tragwerksplanung!$A$1:$I$93</definedName>
    <definedName name="_xlnm.Print_Titles" localSheetId="2">BauKG!$A:$C,BauKG!$3:$3</definedName>
    <definedName name="_xlnm.Print_Titles" localSheetId="9">'BPH-Raumakustik'!$A:$D,'BPH-Raumakustik'!$3:$3</definedName>
    <definedName name="_xlnm.Print_Titles" localSheetId="8">'BPH-Schallschutz'!$A:$D,'BPH-Schallschutz'!$3:$3</definedName>
    <definedName name="_xlnm.Print_Titles" localSheetId="7">'BPH-Thermisch'!$A:$D,'BPH-Thermisch'!$3:$3</definedName>
    <definedName name="_xlnm.Print_Titles" localSheetId="4">'ED zusammen 2023'!$3:$3</definedName>
    <definedName name="_xlnm.Print_Titles" localSheetId="5">Freianlagen!$A:$C,Freianlagen!$3:$3</definedName>
    <definedName name="_xlnm.Print_Titles" localSheetId="1">'GP2b Mgt. NEU'!$A:$C,'GP2b Mgt. NEU'!$3:$3</definedName>
    <definedName name="_xlnm.Print_Titles" localSheetId="3">'Objektplanung Architektur'!$A:$D,'Objektplanung Architektur'!$2:$2</definedName>
    <definedName name="_xlnm.Print_Titles" localSheetId="0">Summenblatt!$A:$C,Summenblatt!$45:$45</definedName>
    <definedName name="_xlnm.Print_Titles" localSheetId="11">TA_Elektro!$A:$C,TA_Elektro!$3:$3</definedName>
    <definedName name="_xlnm.Print_Titles" localSheetId="12">TA_Fördertechnik!$A:$C,TA_Fördertechnik!$3:$3</definedName>
    <definedName name="_xlnm.Print_Titles" localSheetId="13">TA_Gebäudeautomation!$A:$C,TA_Gebäudeautomation!$3:$3</definedName>
    <definedName name="_xlnm.Print_Titles" localSheetId="10">TA_SanitärHeizungKlimaLüftung!$A:$C,TA_SanitärHeizungKlimaLüftung!$3:$3</definedName>
    <definedName name="_xlnm.Print_Titles" localSheetId="6">Tragwerksplanung!$A:$C,Tragwerksplanung!$3:$3</definedName>
    <definedName name="test">Summenblatt!$I$9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56" l="1"/>
  <c r="E51" i="99"/>
  <c r="I35" i="94"/>
  <c r="D85" i="105"/>
  <c r="D85" i="104"/>
  <c r="D85" i="102"/>
  <c r="D80" i="106"/>
  <c r="E80" i="106"/>
  <c r="E78" i="106"/>
  <c r="D78" i="106"/>
  <c r="D76" i="105"/>
  <c r="D76" i="104"/>
  <c r="E85" i="102"/>
  <c r="D76" i="102"/>
  <c r="D76" i="103"/>
  <c r="D79" i="100"/>
  <c r="D76" i="100"/>
  <c r="D78" i="99"/>
  <c r="D75" i="99"/>
  <c r="D78" i="98"/>
  <c r="D75" i="98"/>
  <c r="E79" i="97"/>
  <c r="D76" i="97"/>
  <c r="D79" i="97" s="1"/>
  <c r="D73" i="96"/>
  <c r="D70" i="96"/>
  <c r="D75" i="95"/>
  <c r="D71" i="95"/>
  <c r="D75" i="93"/>
  <c r="D82" i="56"/>
  <c r="D79" i="56"/>
  <c r="D88" i="94"/>
  <c r="E24" i="56"/>
  <c r="E51" i="100"/>
  <c r="E51" i="98"/>
  <c r="E54" i="106"/>
  <c r="E60" i="106" s="1"/>
  <c r="E73" i="96"/>
  <c r="E37" i="56"/>
  <c r="I82" i="106"/>
  <c r="E38" i="106"/>
  <c r="I38" i="106" s="1"/>
  <c r="E34" i="106"/>
  <c r="I34" i="106" s="1"/>
  <c r="E32" i="106"/>
  <c r="E30" i="106"/>
  <c r="I30" i="106" s="1"/>
  <c r="E28" i="106"/>
  <c r="I28" i="106" s="1"/>
  <c r="E26" i="106"/>
  <c r="I26" i="106" s="1"/>
  <c r="E25" i="106"/>
  <c r="I25" i="106" s="1"/>
  <c r="E24" i="106"/>
  <c r="I24" i="106" s="1"/>
  <c r="E21" i="106"/>
  <c r="I21" i="106" s="1"/>
  <c r="E19" i="106"/>
  <c r="I19" i="106" s="1"/>
  <c r="E18" i="106"/>
  <c r="I18" i="106" s="1"/>
  <c r="E17" i="106"/>
  <c r="I17" i="106" s="1"/>
  <c r="E16" i="106"/>
  <c r="I16" i="106" s="1"/>
  <c r="E15" i="106"/>
  <c r="I15" i="106" s="1"/>
  <c r="E14" i="106"/>
  <c r="I14" i="106" s="1"/>
  <c r="E13" i="106"/>
  <c r="I13" i="106" s="1"/>
  <c r="E12" i="106"/>
  <c r="I12" i="106" s="1"/>
  <c r="E9" i="106"/>
  <c r="I9" i="106" s="1"/>
  <c r="E7" i="106"/>
  <c r="I87" i="105"/>
  <c r="E76" i="105"/>
  <c r="E85" i="105" s="1"/>
  <c r="E51" i="105"/>
  <c r="E57" i="105" s="1"/>
  <c r="E34" i="105"/>
  <c r="I34" i="105" s="1"/>
  <c r="E30" i="105"/>
  <c r="I30" i="105" s="1"/>
  <c r="E28" i="105"/>
  <c r="I28" i="105" s="1"/>
  <c r="E26" i="105"/>
  <c r="E24" i="105"/>
  <c r="I24" i="105" s="1"/>
  <c r="E20" i="105"/>
  <c r="I20" i="105" s="1"/>
  <c r="E18" i="105"/>
  <c r="I18" i="105" s="1"/>
  <c r="E17" i="105"/>
  <c r="I17" i="105" s="1"/>
  <c r="E16" i="105"/>
  <c r="I16" i="105" s="1"/>
  <c r="E15" i="105"/>
  <c r="I15" i="105" s="1"/>
  <c r="E14" i="105"/>
  <c r="I14" i="105" s="1"/>
  <c r="E13" i="105"/>
  <c r="I13" i="105" s="1"/>
  <c r="E12" i="105"/>
  <c r="I12" i="105" s="1"/>
  <c r="E11" i="105"/>
  <c r="I11" i="105" s="1"/>
  <c r="E8" i="105"/>
  <c r="I8" i="105" s="1"/>
  <c r="E6" i="105"/>
  <c r="I6" i="105" s="1"/>
  <c r="I87" i="104"/>
  <c r="E76" i="104"/>
  <c r="E85" i="104" s="1"/>
  <c r="E51" i="104"/>
  <c r="E57" i="104" s="1"/>
  <c r="E34" i="104"/>
  <c r="I34" i="104" s="1"/>
  <c r="E30" i="104"/>
  <c r="E28" i="104"/>
  <c r="I28" i="104" s="1"/>
  <c r="E26" i="104"/>
  <c r="I26" i="104" s="1"/>
  <c r="E24" i="104"/>
  <c r="I24" i="104" s="1"/>
  <c r="E20" i="104"/>
  <c r="I20" i="104" s="1"/>
  <c r="E18" i="104"/>
  <c r="I18" i="104" s="1"/>
  <c r="E17" i="104"/>
  <c r="I17" i="104" s="1"/>
  <c r="E16" i="104"/>
  <c r="I16" i="104" s="1"/>
  <c r="E15" i="104"/>
  <c r="I15" i="104" s="1"/>
  <c r="E14" i="104"/>
  <c r="I14" i="104" s="1"/>
  <c r="E13" i="104"/>
  <c r="I13" i="104" s="1"/>
  <c r="E12" i="104"/>
  <c r="I12" i="104" s="1"/>
  <c r="E11" i="104"/>
  <c r="I11" i="104" s="1"/>
  <c r="E8" i="104"/>
  <c r="E6" i="104"/>
  <c r="I6" i="104" s="1"/>
  <c r="I87" i="103"/>
  <c r="E76" i="103"/>
  <c r="E85" i="103" s="1"/>
  <c r="E51" i="103"/>
  <c r="E57" i="103" s="1"/>
  <c r="E34" i="103"/>
  <c r="I34" i="103" s="1"/>
  <c r="E30" i="103"/>
  <c r="I30" i="103" s="1"/>
  <c r="E28" i="103"/>
  <c r="E26" i="103"/>
  <c r="I26" i="103" s="1"/>
  <c r="E24" i="103"/>
  <c r="I24" i="103" s="1"/>
  <c r="E20" i="103"/>
  <c r="E18" i="103"/>
  <c r="I18" i="103" s="1"/>
  <c r="E17" i="103"/>
  <c r="I17" i="103" s="1"/>
  <c r="E16" i="103"/>
  <c r="I16" i="103" s="1"/>
  <c r="E15" i="103"/>
  <c r="I15" i="103" s="1"/>
  <c r="E14" i="103"/>
  <c r="I14" i="103" s="1"/>
  <c r="E13" i="103"/>
  <c r="I13" i="103" s="1"/>
  <c r="E12" i="103"/>
  <c r="I12" i="103" s="1"/>
  <c r="E11" i="103"/>
  <c r="I11" i="103" s="1"/>
  <c r="E8" i="103"/>
  <c r="I8" i="103" s="1"/>
  <c r="E6" i="103"/>
  <c r="I87" i="102"/>
  <c r="E76" i="102"/>
  <c r="E51" i="102"/>
  <c r="E57" i="102" s="1"/>
  <c r="E34" i="102"/>
  <c r="I34" i="102" s="1"/>
  <c r="E30" i="102"/>
  <c r="E28" i="102"/>
  <c r="E26" i="102"/>
  <c r="I26" i="102" s="1"/>
  <c r="E24" i="102"/>
  <c r="I24" i="102" s="1"/>
  <c r="E20" i="102"/>
  <c r="I20" i="102" s="1"/>
  <c r="E18" i="102"/>
  <c r="I18" i="102" s="1"/>
  <c r="E17" i="102"/>
  <c r="I17" i="102" s="1"/>
  <c r="E16" i="102"/>
  <c r="I16" i="102" s="1"/>
  <c r="E15" i="102"/>
  <c r="I15" i="102" s="1"/>
  <c r="E14" i="102"/>
  <c r="I14" i="102" s="1"/>
  <c r="E13" i="102"/>
  <c r="I13" i="102" s="1"/>
  <c r="E12" i="102"/>
  <c r="I12" i="102" s="1"/>
  <c r="E11" i="102"/>
  <c r="I11" i="102" s="1"/>
  <c r="E8" i="102"/>
  <c r="E6" i="102"/>
  <c r="I7" i="106" l="1"/>
  <c r="I26" i="105"/>
  <c r="I32" i="106"/>
  <c r="I6" i="102"/>
  <c r="I28" i="102"/>
  <c r="I8" i="104"/>
  <c r="I30" i="104"/>
  <c r="I30" i="102"/>
  <c r="I6" i="103"/>
  <c r="I28" i="103"/>
  <c r="I8" i="102"/>
  <c r="I20" i="103"/>
  <c r="I36" i="106" l="1"/>
  <c r="I40" i="106" s="1"/>
  <c r="E58" i="106" s="1"/>
  <c r="E62" i="106" s="1"/>
  <c r="F65" i="106" s="1"/>
  <c r="F79" i="106" s="1"/>
  <c r="F75" i="106" l="1"/>
  <c r="F71" i="106"/>
  <c r="F76" i="106"/>
  <c r="F72" i="106"/>
  <c r="F68" i="106"/>
  <c r="F74" i="106"/>
  <c r="F70" i="106"/>
  <c r="F77" i="106"/>
  <c r="F73" i="106"/>
  <c r="F69" i="106"/>
  <c r="F78" i="106" l="1"/>
  <c r="F80" i="106" s="1"/>
  <c r="I80" i="106" s="1"/>
  <c r="I84" i="106" s="1"/>
  <c r="I74" i="87" s="1"/>
  <c r="I86" i="106" l="1"/>
  <c r="I89" i="106" l="1"/>
  <c r="I90" i="106" l="1"/>
  <c r="I92" i="106" s="1"/>
  <c r="I81" i="100" l="1"/>
  <c r="E76" i="100"/>
  <c r="E79" i="100" s="1"/>
  <c r="E59" i="100"/>
  <c r="E35" i="100"/>
  <c r="I35" i="100" s="1"/>
  <c r="E31" i="100"/>
  <c r="I31" i="100" s="1"/>
  <c r="E29" i="100"/>
  <c r="E27" i="100"/>
  <c r="I27" i="100" s="1"/>
  <c r="E25" i="100"/>
  <c r="I25" i="100" s="1"/>
  <c r="E21" i="100"/>
  <c r="E19" i="100"/>
  <c r="I19" i="100" s="1"/>
  <c r="E18" i="100"/>
  <c r="I18" i="100" s="1"/>
  <c r="E17" i="100"/>
  <c r="I17" i="100" s="1"/>
  <c r="E16" i="100"/>
  <c r="I16" i="100" s="1"/>
  <c r="E15" i="100"/>
  <c r="I15" i="100" s="1"/>
  <c r="E14" i="100"/>
  <c r="I14" i="100" s="1"/>
  <c r="E13" i="100"/>
  <c r="I13" i="100" s="1"/>
  <c r="E12" i="100"/>
  <c r="I12" i="100" s="1"/>
  <c r="E9" i="100"/>
  <c r="I9" i="100" s="1"/>
  <c r="E7" i="100"/>
  <c r="I7" i="100" s="1"/>
  <c r="I80" i="99"/>
  <c r="E75" i="99"/>
  <c r="E78" i="99" s="1"/>
  <c r="E57" i="99"/>
  <c r="E35" i="99"/>
  <c r="I35" i="99" s="1"/>
  <c r="E31" i="99"/>
  <c r="I31" i="99" s="1"/>
  <c r="E29" i="99"/>
  <c r="I29" i="99" s="1"/>
  <c r="E27" i="99"/>
  <c r="I27" i="99" s="1"/>
  <c r="E25" i="99"/>
  <c r="E21" i="99"/>
  <c r="I21" i="99" s="1"/>
  <c r="E19" i="99"/>
  <c r="I19" i="99" s="1"/>
  <c r="E18" i="99"/>
  <c r="I18" i="99" s="1"/>
  <c r="E17" i="99"/>
  <c r="I17" i="99" s="1"/>
  <c r="E16" i="99"/>
  <c r="I16" i="99" s="1"/>
  <c r="E15" i="99"/>
  <c r="I15" i="99" s="1"/>
  <c r="E14" i="99"/>
  <c r="I14" i="99" s="1"/>
  <c r="E13" i="99"/>
  <c r="I13" i="99" s="1"/>
  <c r="E12" i="99"/>
  <c r="I12" i="99" s="1"/>
  <c r="E9" i="99"/>
  <c r="E7" i="99"/>
  <c r="I7" i="99" s="1"/>
  <c r="I80" i="98"/>
  <c r="E75" i="98"/>
  <c r="E78" i="98" s="1"/>
  <c r="E57" i="98"/>
  <c r="E35" i="98"/>
  <c r="I35" i="98" s="1"/>
  <c r="E31" i="98"/>
  <c r="I31" i="98" s="1"/>
  <c r="E29" i="98"/>
  <c r="I29" i="98" s="1"/>
  <c r="E27" i="98"/>
  <c r="E25" i="98"/>
  <c r="I25" i="98" s="1"/>
  <c r="E21" i="98"/>
  <c r="I21" i="98" s="1"/>
  <c r="E19" i="98"/>
  <c r="I19" i="98" s="1"/>
  <c r="E18" i="98"/>
  <c r="I18" i="98" s="1"/>
  <c r="E17" i="98"/>
  <c r="I17" i="98" s="1"/>
  <c r="E16" i="98"/>
  <c r="I16" i="98" s="1"/>
  <c r="E15" i="98"/>
  <c r="I15" i="98" s="1"/>
  <c r="E14" i="98"/>
  <c r="I14" i="98" s="1"/>
  <c r="E13" i="98"/>
  <c r="I13" i="98" s="1"/>
  <c r="E12" i="98"/>
  <c r="I12" i="98" s="1"/>
  <c r="E9" i="98"/>
  <c r="I9" i="98" s="1"/>
  <c r="E7" i="98"/>
  <c r="I7" i="98" s="1"/>
  <c r="I21" i="100" l="1"/>
  <c r="I29" i="100"/>
  <c r="I25" i="99"/>
  <c r="I9" i="99"/>
  <c r="I27" i="98"/>
  <c r="E35" i="97" l="1"/>
  <c r="I35" i="97" s="1"/>
  <c r="E31" i="97"/>
  <c r="I31" i="97" s="1"/>
  <c r="E29" i="97"/>
  <c r="I29" i="97" s="1"/>
  <c r="E27" i="97"/>
  <c r="I27" i="97" s="1"/>
  <c r="E25" i="97"/>
  <c r="I25" i="97" s="1"/>
  <c r="E21" i="97"/>
  <c r="I21" i="97" s="1"/>
  <c r="E19" i="97"/>
  <c r="I19" i="97" s="1"/>
  <c r="E18" i="97"/>
  <c r="I18" i="97" s="1"/>
  <c r="E17" i="97"/>
  <c r="I17" i="97" s="1"/>
  <c r="E16" i="97"/>
  <c r="I16" i="97" s="1"/>
  <c r="E15" i="97"/>
  <c r="I15" i="97" s="1"/>
  <c r="E14" i="97"/>
  <c r="I14" i="97" s="1"/>
  <c r="E13" i="97"/>
  <c r="I13" i="97" s="1"/>
  <c r="E12" i="97"/>
  <c r="I12" i="97" s="1"/>
  <c r="E9" i="97"/>
  <c r="I9" i="97" s="1"/>
  <c r="E7" i="97"/>
  <c r="I7" i="97" s="1"/>
  <c r="I81" i="97"/>
  <c r="E76" i="97"/>
  <c r="E53" i="97"/>
  <c r="E59" i="97" s="1"/>
  <c r="E27" i="96" l="1"/>
  <c r="I27" i="96" s="1"/>
  <c r="E23" i="96"/>
  <c r="I23" i="96" s="1"/>
  <c r="E21" i="96"/>
  <c r="I21" i="96" s="1"/>
  <c r="E19" i="96"/>
  <c r="I19" i="96" s="1"/>
  <c r="E17" i="96"/>
  <c r="I17" i="96" s="1"/>
  <c r="E13" i="96"/>
  <c r="I13" i="96" s="1"/>
  <c r="E9" i="96"/>
  <c r="E7" i="96"/>
  <c r="I75" i="96"/>
  <c r="E70" i="96"/>
  <c r="E44" i="96"/>
  <c r="E52" i="96" s="1"/>
  <c r="I9" i="96" l="1"/>
  <c r="I7" i="96"/>
  <c r="E30" i="95" l="1"/>
  <c r="I30" i="95" s="1"/>
  <c r="E26" i="95"/>
  <c r="I26" i="95" s="1"/>
  <c r="E24" i="95"/>
  <c r="E22" i="95"/>
  <c r="I22" i="95" s="1"/>
  <c r="E20" i="95"/>
  <c r="I20" i="95" s="1"/>
  <c r="E18" i="95"/>
  <c r="I18" i="95" s="1"/>
  <c r="E17" i="95"/>
  <c r="I17" i="95" s="1"/>
  <c r="E16" i="95"/>
  <c r="I16" i="95" s="1"/>
  <c r="E13" i="95"/>
  <c r="I13" i="95" s="1"/>
  <c r="E9" i="95"/>
  <c r="I9" i="95" s="1"/>
  <c r="E7" i="95"/>
  <c r="I7" i="95" s="1"/>
  <c r="I77" i="95"/>
  <c r="E71" i="95"/>
  <c r="E75" i="95" s="1"/>
  <c r="A55" i="95"/>
  <c r="A53" i="95"/>
  <c r="E45" i="95"/>
  <c r="E53" i="95" s="1"/>
  <c r="I24" i="95" l="1"/>
  <c r="E37" i="94" l="1"/>
  <c r="I37" i="94" s="1"/>
  <c r="E33" i="94"/>
  <c r="I33" i="94" s="1"/>
  <c r="E31" i="94"/>
  <c r="I31" i="94" s="1"/>
  <c r="E29" i="94"/>
  <c r="I29" i="94" s="1"/>
  <c r="E27" i="94"/>
  <c r="I27" i="94" s="1"/>
  <c r="E25" i="94"/>
  <c r="I25" i="94" s="1"/>
  <c r="E24" i="94"/>
  <c r="I24" i="94" s="1"/>
  <c r="E23" i="94"/>
  <c r="I23" i="94" s="1"/>
  <c r="E20" i="94"/>
  <c r="I20" i="94" s="1"/>
  <c r="E18" i="94"/>
  <c r="E17" i="94"/>
  <c r="E16" i="94"/>
  <c r="E15" i="94"/>
  <c r="E14" i="94"/>
  <c r="E13" i="94"/>
  <c r="E12" i="94"/>
  <c r="E11" i="94"/>
  <c r="E8" i="94"/>
  <c r="I8" i="94" s="1"/>
  <c r="E6" i="94"/>
  <c r="I6" i="94" s="1"/>
  <c r="I90" i="94"/>
  <c r="E79" i="94"/>
  <c r="E88" i="94" s="1"/>
  <c r="D79" i="94"/>
  <c r="E55" i="94"/>
  <c r="E61" i="94" s="1"/>
  <c r="H13" i="94" l="1"/>
  <c r="H14" i="94" s="1"/>
  <c r="E9" i="93" l="1"/>
  <c r="I9" i="93" s="1"/>
  <c r="E7" i="93"/>
  <c r="I77" i="93"/>
  <c r="E75" i="93"/>
  <c r="E51" i="93"/>
  <c r="E57" i="93" s="1"/>
  <c r="E38" i="93"/>
  <c r="I38" i="93" s="1"/>
  <c r="E34" i="93"/>
  <c r="I34" i="93" s="1"/>
  <c r="E32" i="93"/>
  <c r="I32" i="93" s="1"/>
  <c r="E30" i="93"/>
  <c r="E28" i="93"/>
  <c r="I28" i="93" s="1"/>
  <c r="E26" i="93"/>
  <c r="I26" i="93" s="1"/>
  <c r="E25" i="93"/>
  <c r="I25" i="93" s="1"/>
  <c r="E24" i="93"/>
  <c r="I24" i="93" s="1"/>
  <c r="E21" i="93"/>
  <c r="I21" i="93" s="1"/>
  <c r="E19" i="93"/>
  <c r="I19" i="93" s="1"/>
  <c r="E18" i="93"/>
  <c r="I18" i="93" s="1"/>
  <c r="E17" i="93"/>
  <c r="I17" i="93" s="1"/>
  <c r="E16" i="93"/>
  <c r="I16" i="93" s="1"/>
  <c r="E15" i="93"/>
  <c r="I15" i="93" s="1"/>
  <c r="E14" i="93"/>
  <c r="I14" i="93" s="1"/>
  <c r="E13" i="93"/>
  <c r="I13" i="93" s="1"/>
  <c r="E12" i="93"/>
  <c r="I12" i="93" s="1"/>
  <c r="I7" i="93" l="1"/>
  <c r="I30" i="93"/>
  <c r="I36" i="93" l="1"/>
  <c r="I40" i="93" s="1"/>
  <c r="F57" i="93" s="1"/>
  <c r="E55" i="93" l="1"/>
  <c r="E59" i="93" s="1"/>
  <c r="F62" i="93" s="1"/>
  <c r="F72" i="93" l="1"/>
  <c r="F68" i="93"/>
  <c r="F71" i="93"/>
  <c r="F67" i="93"/>
  <c r="F74" i="93"/>
  <c r="F70" i="93"/>
  <c r="F66" i="93"/>
  <c r="F73" i="93"/>
  <c r="F69" i="93"/>
  <c r="F65" i="93"/>
  <c r="F75" i="93" l="1"/>
  <c r="I75" i="93" s="1"/>
  <c r="I79" i="93" s="1"/>
  <c r="I50" i="87" s="1"/>
  <c r="I81" i="93" l="1"/>
  <c r="I84" i="93" s="1"/>
  <c r="I85" i="93" l="1"/>
  <c r="I87" i="93" s="1"/>
  <c r="I84" i="56" l="1"/>
  <c r="E25" i="56"/>
  <c r="I25" i="56" s="1"/>
  <c r="I24" i="56"/>
  <c r="E23" i="56"/>
  <c r="I23" i="56" s="1"/>
  <c r="E33" i="56"/>
  <c r="I33" i="56" s="1"/>
  <c r="E31" i="56"/>
  <c r="I31" i="56" s="1"/>
  <c r="E29" i="56"/>
  <c r="I29" i="56" s="1"/>
  <c r="E27" i="56"/>
  <c r="I27" i="56" s="1"/>
  <c r="E20" i="56"/>
  <c r="I20" i="56" s="1"/>
  <c r="E18" i="56"/>
  <c r="I18" i="56" s="1"/>
  <c r="E17" i="56"/>
  <c r="I17" i="56" s="1"/>
  <c r="E16" i="56"/>
  <c r="I16" i="56" s="1"/>
  <c r="E15" i="56"/>
  <c r="I15" i="56" s="1"/>
  <c r="E14" i="56"/>
  <c r="I14" i="56" s="1"/>
  <c r="E13" i="56"/>
  <c r="I13" i="56" s="1"/>
  <c r="E12" i="56"/>
  <c r="I12" i="56" s="1"/>
  <c r="E11" i="56"/>
  <c r="I11" i="56" s="1"/>
  <c r="E8" i="56"/>
  <c r="I8" i="56" s="1"/>
  <c r="E6" i="56"/>
  <c r="I6" i="56" s="1"/>
  <c r="I23" i="87"/>
  <c r="E23" i="106" s="1"/>
  <c r="I11" i="87"/>
  <c r="E11" i="106" s="1"/>
  <c r="E55" i="56"/>
  <c r="E61" i="56" s="1"/>
  <c r="E79" i="56"/>
  <c r="E82" i="56" s="1"/>
  <c r="E36" i="106" l="1"/>
  <c r="D23" i="106" s="1"/>
  <c r="E10" i="103"/>
  <c r="E10" i="104"/>
  <c r="E10" i="102"/>
  <c r="E10" i="105"/>
  <c r="E22" i="104"/>
  <c r="E22" i="105"/>
  <c r="I22" i="105" s="1"/>
  <c r="I36" i="105" s="1"/>
  <c r="E22" i="103"/>
  <c r="E22" i="102"/>
  <c r="E11" i="100"/>
  <c r="E11" i="99"/>
  <c r="E11" i="98"/>
  <c r="E11" i="97"/>
  <c r="E11" i="96"/>
  <c r="E11" i="95"/>
  <c r="E10" i="94"/>
  <c r="E23" i="100"/>
  <c r="I23" i="100" s="1"/>
  <c r="I37" i="100" s="1"/>
  <c r="E55" i="100" s="1"/>
  <c r="E23" i="99"/>
  <c r="I23" i="99" s="1"/>
  <c r="I37" i="99" s="1"/>
  <c r="E55" i="99" s="1"/>
  <c r="E23" i="98"/>
  <c r="I23" i="98" s="1"/>
  <c r="I37" i="98" s="1"/>
  <c r="E55" i="98" s="1"/>
  <c r="E23" i="97"/>
  <c r="E15" i="96"/>
  <c r="E15" i="95"/>
  <c r="E22" i="94"/>
  <c r="E23" i="93"/>
  <c r="I35" i="56"/>
  <c r="I37" i="56"/>
  <c r="E22" i="56"/>
  <c r="I36" i="87"/>
  <c r="E74" i="87" s="1"/>
  <c r="I38" i="87"/>
  <c r="E10" i="56"/>
  <c r="D11" i="106" l="1"/>
  <c r="D32" i="106"/>
  <c r="D7" i="106"/>
  <c r="D34" i="106"/>
  <c r="D21" i="106"/>
  <c r="D28" i="106"/>
  <c r="D9" i="106"/>
  <c r="D30" i="106"/>
  <c r="E94" i="106"/>
  <c r="E61" i="100"/>
  <c r="F64" i="100" s="1"/>
  <c r="I55" i="100"/>
  <c r="E59" i="98"/>
  <c r="F62" i="98" s="1"/>
  <c r="I55" i="98"/>
  <c r="E59" i="99"/>
  <c r="F62" i="99" s="1"/>
  <c r="I55" i="99"/>
  <c r="I22" i="102"/>
  <c r="I36" i="102" s="1"/>
  <c r="I22" i="103"/>
  <c r="I36" i="103" s="1"/>
  <c r="E55" i="105"/>
  <c r="F57" i="105"/>
  <c r="E32" i="105"/>
  <c r="E32" i="103"/>
  <c r="D22" i="103" s="1"/>
  <c r="E32" i="102"/>
  <c r="E32" i="104"/>
  <c r="D22" i="104"/>
  <c r="I22" i="104"/>
  <c r="I36" i="104" s="1"/>
  <c r="E33" i="100"/>
  <c r="D23" i="100" s="1"/>
  <c r="E33" i="99"/>
  <c r="D11" i="99" s="1"/>
  <c r="E33" i="98"/>
  <c r="D11" i="98" s="1"/>
  <c r="E33" i="97"/>
  <c r="D23" i="97" s="1"/>
  <c r="E25" i="96"/>
  <c r="D11" i="96" s="1"/>
  <c r="E28" i="95"/>
  <c r="D11" i="95" s="1"/>
  <c r="E36" i="93"/>
  <c r="D23" i="93" s="1"/>
  <c r="I15" i="96"/>
  <c r="I23" i="97"/>
  <c r="I33" i="97" s="1"/>
  <c r="I37" i="97" s="1"/>
  <c r="E35" i="94"/>
  <c r="D22" i="94" s="1"/>
  <c r="H10" i="94"/>
  <c r="I11" i="95"/>
  <c r="I28" i="95" s="1"/>
  <c r="I32" i="95" s="1"/>
  <c r="E49" i="95" s="1"/>
  <c r="E55" i="95" s="1"/>
  <c r="I11" i="96"/>
  <c r="I39" i="56"/>
  <c r="F61" i="56" s="1"/>
  <c r="D30" i="87"/>
  <c r="D28" i="87"/>
  <c r="D9" i="87"/>
  <c r="D34" i="87"/>
  <c r="D23" i="87"/>
  <c r="D7" i="87"/>
  <c r="D32" i="87"/>
  <c r="D21" i="87"/>
  <c r="D11" i="87"/>
  <c r="E35" i="56"/>
  <c r="D10" i="56" s="1"/>
  <c r="F74" i="87"/>
  <c r="D15" i="96" l="1"/>
  <c r="D36" i="106"/>
  <c r="D10" i="103"/>
  <c r="F66" i="99"/>
  <c r="F74" i="99"/>
  <c r="F70" i="99"/>
  <c r="F68" i="99"/>
  <c r="F69" i="99"/>
  <c r="F73" i="99"/>
  <c r="F72" i="99"/>
  <c r="F71" i="99"/>
  <c r="F77" i="99"/>
  <c r="F67" i="99"/>
  <c r="F76" i="99"/>
  <c r="F65" i="99"/>
  <c r="F72" i="98"/>
  <c r="F70" i="98"/>
  <c r="F68" i="98"/>
  <c r="F65" i="98"/>
  <c r="F76" i="98"/>
  <c r="F77" i="98"/>
  <c r="F69" i="98"/>
  <c r="F67" i="98"/>
  <c r="F73" i="98"/>
  <c r="F66" i="98"/>
  <c r="F74" i="98"/>
  <c r="F71" i="98"/>
  <c r="F69" i="100"/>
  <c r="F77" i="100"/>
  <c r="F74" i="100"/>
  <c r="F67" i="100"/>
  <c r="F68" i="100"/>
  <c r="F72" i="100"/>
  <c r="F78" i="100"/>
  <c r="F66" i="100"/>
  <c r="F75" i="100"/>
  <c r="F71" i="100"/>
  <c r="F73" i="100"/>
  <c r="F70" i="100"/>
  <c r="D20" i="102"/>
  <c r="D24" i="102"/>
  <c r="D30" i="102"/>
  <c r="D28" i="102"/>
  <c r="D6" i="102"/>
  <c r="D8" i="102"/>
  <c r="D26" i="102"/>
  <c r="E55" i="104"/>
  <c r="F57" i="104"/>
  <c r="D26" i="103"/>
  <c r="D24" i="103"/>
  <c r="D30" i="103"/>
  <c r="D28" i="103"/>
  <c r="D20" i="103"/>
  <c r="D8" i="103"/>
  <c r="D6" i="103"/>
  <c r="F60" i="105"/>
  <c r="E59" i="105"/>
  <c r="F64" i="105" s="1"/>
  <c r="E61" i="105"/>
  <c r="F61" i="105"/>
  <c r="E60" i="105"/>
  <c r="E55" i="103"/>
  <c r="F57" i="103"/>
  <c r="D22" i="105"/>
  <c r="D30" i="105"/>
  <c r="D28" i="105"/>
  <c r="D26" i="105"/>
  <c r="D8" i="105"/>
  <c r="D6" i="105"/>
  <c r="D24" i="105"/>
  <c r="D20" i="105"/>
  <c r="D10" i="105"/>
  <c r="D22" i="102"/>
  <c r="D24" i="104"/>
  <c r="D6" i="104"/>
  <c r="D28" i="104"/>
  <c r="D20" i="104"/>
  <c r="D8" i="104"/>
  <c r="D30" i="104"/>
  <c r="D26" i="104"/>
  <c r="D10" i="104"/>
  <c r="D10" i="102"/>
  <c r="F57" i="102"/>
  <c r="E55" i="102"/>
  <c r="D11" i="100"/>
  <c r="D23" i="99"/>
  <c r="D23" i="98"/>
  <c r="D10" i="94"/>
  <c r="D15" i="95"/>
  <c r="I25" i="96"/>
  <c r="I29" i="96" s="1"/>
  <c r="F49" i="96" s="1"/>
  <c r="H17" i="94"/>
  <c r="I16" i="94"/>
  <c r="H15" i="94"/>
  <c r="I13" i="94"/>
  <c r="H18" i="94"/>
  <c r="I18" i="94" s="1"/>
  <c r="I10" i="94"/>
  <c r="I39" i="94" s="1"/>
  <c r="E59" i="94" s="1"/>
  <c r="I15" i="94"/>
  <c r="G17" i="94"/>
  <c r="D25" i="97"/>
  <c r="D29" i="97"/>
  <c r="D7" i="97"/>
  <c r="D21" i="97"/>
  <c r="D31" i="97"/>
  <c r="D9" i="97"/>
  <c r="D27" i="97"/>
  <c r="D6" i="94"/>
  <c r="D8" i="94"/>
  <c r="D33" i="94"/>
  <c r="D31" i="94"/>
  <c r="D29" i="94"/>
  <c r="D27" i="94"/>
  <c r="D20" i="94"/>
  <c r="D11" i="97"/>
  <c r="D11" i="93"/>
  <c r="D30" i="93"/>
  <c r="D34" i="93"/>
  <c r="D9" i="93"/>
  <c r="D21" i="93"/>
  <c r="D32" i="93"/>
  <c r="D7" i="93"/>
  <c r="D28" i="93"/>
  <c r="E89" i="93"/>
  <c r="D31" i="98"/>
  <c r="D27" i="98"/>
  <c r="D21" i="98"/>
  <c r="D29" i="98"/>
  <c r="D7" i="98"/>
  <c r="D25" i="98"/>
  <c r="D9" i="98"/>
  <c r="D24" i="95"/>
  <c r="D26" i="95"/>
  <c r="D22" i="95"/>
  <c r="D7" i="95"/>
  <c r="D20" i="95"/>
  <c r="D9" i="95"/>
  <c r="D13" i="95"/>
  <c r="D21" i="99"/>
  <c r="D27" i="99"/>
  <c r="D25" i="99"/>
  <c r="D7" i="99"/>
  <c r="D9" i="99"/>
  <c r="D29" i="99"/>
  <c r="D31" i="99"/>
  <c r="I49" i="95"/>
  <c r="F58" i="95"/>
  <c r="E57" i="97"/>
  <c r="F59" i="97"/>
  <c r="D7" i="96"/>
  <c r="D21" i="96"/>
  <c r="D9" i="96"/>
  <c r="D17" i="96"/>
  <c r="D13" i="96"/>
  <c r="D23" i="96"/>
  <c r="D19" i="96"/>
  <c r="D25" i="100"/>
  <c r="D9" i="100"/>
  <c r="D7" i="100"/>
  <c r="D27" i="100"/>
  <c r="D21" i="100"/>
  <c r="D31" i="100"/>
  <c r="D29" i="100"/>
  <c r="E59" i="56"/>
  <c r="D36" i="87"/>
  <c r="D38" i="87"/>
  <c r="D29" i="56"/>
  <c r="D8" i="56"/>
  <c r="D33" i="56"/>
  <c r="D27" i="56"/>
  <c r="D31" i="56"/>
  <c r="D20" i="56"/>
  <c r="D22" i="56"/>
  <c r="D6" i="56"/>
  <c r="F76" i="100" l="1"/>
  <c r="F79" i="100" s="1"/>
  <c r="F75" i="98"/>
  <c r="F78" i="98" s="1"/>
  <c r="I78" i="98" s="1"/>
  <c r="I82" i="98" s="1"/>
  <c r="I60" i="87" s="1"/>
  <c r="E61" i="97"/>
  <c r="F63" i="97" s="1"/>
  <c r="F77" i="97" s="1"/>
  <c r="F75" i="99"/>
  <c r="F78" i="99" s="1"/>
  <c r="I78" i="99" s="1"/>
  <c r="I82" i="99" s="1"/>
  <c r="E63" i="56"/>
  <c r="F66" i="56" s="1"/>
  <c r="F74" i="56" s="1"/>
  <c r="D32" i="103"/>
  <c r="D32" i="104"/>
  <c r="D32" i="105"/>
  <c r="F61" i="102"/>
  <c r="E60" i="102"/>
  <c r="E59" i="102"/>
  <c r="F64" i="102" s="1"/>
  <c r="F60" i="102"/>
  <c r="E61" i="102"/>
  <c r="F60" i="104"/>
  <c r="E61" i="104"/>
  <c r="E60" i="104"/>
  <c r="F61" i="104"/>
  <c r="E59" i="104"/>
  <c r="F64" i="104" s="1"/>
  <c r="F61" i="103"/>
  <c r="E59" i="103"/>
  <c r="F64" i="103" s="1"/>
  <c r="E60" i="103"/>
  <c r="E61" i="103"/>
  <c r="F60" i="103"/>
  <c r="F82" i="105"/>
  <c r="F77" i="105"/>
  <c r="F68" i="105"/>
  <c r="F75" i="105"/>
  <c r="F71" i="105"/>
  <c r="F81" i="105"/>
  <c r="F78" i="105"/>
  <c r="F74" i="105"/>
  <c r="F66" i="105"/>
  <c r="F67" i="105"/>
  <c r="F69" i="105"/>
  <c r="F83" i="105"/>
  <c r="F80" i="105"/>
  <c r="F72" i="105"/>
  <c r="F84" i="105"/>
  <c r="F79" i="105"/>
  <c r="F70" i="105"/>
  <c r="F73" i="105"/>
  <c r="D32" i="102"/>
  <c r="E48" i="96"/>
  <c r="E50" i="96" s="1"/>
  <c r="E54" i="96" s="1"/>
  <c r="F57" i="96" s="1"/>
  <c r="F72" i="96" s="1"/>
  <c r="I63" i="94"/>
  <c r="E62" i="94"/>
  <c r="F66" i="94" s="1"/>
  <c r="F64" i="94"/>
  <c r="E63" i="94"/>
  <c r="E64" i="94"/>
  <c r="F66" i="95"/>
  <c r="F70" i="95"/>
  <c r="F68" i="95"/>
  <c r="F62" i="95"/>
  <c r="F67" i="95"/>
  <c r="F74" i="95"/>
  <c r="F69" i="95"/>
  <c r="F65" i="95"/>
  <c r="F61" i="95"/>
  <c r="F73" i="95"/>
  <c r="F64" i="95"/>
  <c r="F63" i="95"/>
  <c r="F72" i="95"/>
  <c r="D33" i="97"/>
  <c r="D25" i="96"/>
  <c r="D28" i="95"/>
  <c r="D36" i="93"/>
  <c r="D33" i="99"/>
  <c r="D33" i="98"/>
  <c r="D33" i="100"/>
  <c r="D35" i="94"/>
  <c r="D35" i="56"/>
  <c r="I84" i="98" l="1"/>
  <c r="I87" i="98" s="1"/>
  <c r="F86" i="94"/>
  <c r="F83" i="94"/>
  <c r="F81" i="94"/>
  <c r="F84" i="94"/>
  <c r="I79" i="100"/>
  <c r="I83" i="100" s="1"/>
  <c r="F71" i="56"/>
  <c r="F75" i="97"/>
  <c r="F78" i="97"/>
  <c r="F67" i="97"/>
  <c r="F69" i="97"/>
  <c r="F73" i="97"/>
  <c r="F68" i="97"/>
  <c r="F70" i="97"/>
  <c r="F66" i="97"/>
  <c r="F72" i="97"/>
  <c r="F74" i="97"/>
  <c r="F71" i="97"/>
  <c r="I62" i="87"/>
  <c r="I84" i="99"/>
  <c r="I87" i="99" s="1"/>
  <c r="I88" i="98"/>
  <c r="I90" i="98" s="1"/>
  <c r="E92" i="98"/>
  <c r="F70" i="56"/>
  <c r="F72" i="56"/>
  <c r="F76" i="56"/>
  <c r="F73" i="56"/>
  <c r="F81" i="56"/>
  <c r="F77" i="56"/>
  <c r="F75" i="56"/>
  <c r="F78" i="56"/>
  <c r="F69" i="56"/>
  <c r="F80" i="56"/>
  <c r="F67" i="104"/>
  <c r="F77" i="104"/>
  <c r="F82" i="104"/>
  <c r="F81" i="104"/>
  <c r="F75" i="104"/>
  <c r="F72" i="104"/>
  <c r="F70" i="104"/>
  <c r="F68" i="104"/>
  <c r="F66" i="104"/>
  <c r="F80" i="104"/>
  <c r="F84" i="104"/>
  <c r="F71" i="104"/>
  <c r="F83" i="104"/>
  <c r="F79" i="104"/>
  <c r="F73" i="104"/>
  <c r="F69" i="104"/>
  <c r="F74" i="104"/>
  <c r="F78" i="104"/>
  <c r="F76" i="105"/>
  <c r="F85" i="105" s="1"/>
  <c r="I85" i="105" s="1"/>
  <c r="I89" i="105" s="1"/>
  <c r="I72" i="87" s="1"/>
  <c r="F83" i="103"/>
  <c r="F71" i="103"/>
  <c r="F78" i="103"/>
  <c r="F77" i="103"/>
  <c r="F79" i="103"/>
  <c r="F69" i="103"/>
  <c r="F81" i="103"/>
  <c r="F72" i="103"/>
  <c r="F84" i="103"/>
  <c r="F75" i="103"/>
  <c r="F67" i="103"/>
  <c r="F74" i="103"/>
  <c r="F70" i="103"/>
  <c r="F80" i="103"/>
  <c r="F73" i="103"/>
  <c r="F82" i="103"/>
  <c r="F66" i="103"/>
  <c r="F68" i="103"/>
  <c r="F73" i="102"/>
  <c r="F81" i="102"/>
  <c r="F70" i="102"/>
  <c r="F78" i="102"/>
  <c r="F75" i="102"/>
  <c r="F67" i="102"/>
  <c r="F72" i="102"/>
  <c r="F82" i="102"/>
  <c r="F83" i="102"/>
  <c r="F71" i="102"/>
  <c r="F77" i="102"/>
  <c r="F68" i="102"/>
  <c r="F84" i="102"/>
  <c r="F66" i="102"/>
  <c r="F79" i="102"/>
  <c r="F69" i="102"/>
  <c r="F74" i="102"/>
  <c r="F80" i="102"/>
  <c r="F67" i="96"/>
  <c r="F69" i="96"/>
  <c r="F60" i="96"/>
  <c r="F66" i="96"/>
  <c r="F68" i="96"/>
  <c r="F71" i="96"/>
  <c r="F65" i="96"/>
  <c r="F64" i="96"/>
  <c r="F63" i="96"/>
  <c r="F62" i="96"/>
  <c r="F61" i="96"/>
  <c r="F71" i="95"/>
  <c r="F75" i="95" s="1"/>
  <c r="I75" i="95" s="1"/>
  <c r="I79" i="95" s="1"/>
  <c r="F77" i="94"/>
  <c r="F78" i="94"/>
  <c r="F82" i="94"/>
  <c r="F69" i="94"/>
  <c r="F71" i="94"/>
  <c r="F73" i="94"/>
  <c r="F75" i="94"/>
  <c r="F85" i="94"/>
  <c r="F80" i="94"/>
  <c r="F87" i="94"/>
  <c r="F70" i="94"/>
  <c r="F72" i="94"/>
  <c r="F74" i="94"/>
  <c r="F76" i="94"/>
  <c r="I64" i="87" l="1"/>
  <c r="I85" i="100"/>
  <c r="I88" i="100" s="1"/>
  <c r="F76" i="97"/>
  <c r="F79" i="97" s="1"/>
  <c r="I79" i="97" s="1"/>
  <c r="I83" i="97" s="1"/>
  <c r="I58" i="87" s="1"/>
  <c r="I88" i="99"/>
  <c r="I90" i="99" s="1"/>
  <c r="E92" i="99"/>
  <c r="F82" i="56"/>
  <c r="I82" i="56" s="1"/>
  <c r="I86" i="56" s="1"/>
  <c r="I88" i="56" s="1"/>
  <c r="F76" i="103"/>
  <c r="F85" i="103" s="1"/>
  <c r="I85" i="103" s="1"/>
  <c r="I89" i="103" s="1"/>
  <c r="I68" i="87" s="1"/>
  <c r="F76" i="102"/>
  <c r="F85" i="102" s="1"/>
  <c r="I85" i="102" s="1"/>
  <c r="I89" i="102" s="1"/>
  <c r="I91" i="105"/>
  <c r="I94" i="105" s="1"/>
  <c r="F76" i="104"/>
  <c r="F85" i="104" s="1"/>
  <c r="I85" i="104" s="1"/>
  <c r="I89" i="104" s="1"/>
  <c r="F70" i="96"/>
  <c r="F79" i="94"/>
  <c r="F88" i="94" s="1"/>
  <c r="I81" i="95"/>
  <c r="I84" i="95" s="1"/>
  <c r="I54" i="87"/>
  <c r="E60" i="87"/>
  <c r="F60" i="87"/>
  <c r="I89" i="100" l="1"/>
  <c r="I91" i="100" s="1"/>
  <c r="E93" i="100"/>
  <c r="I48" i="87"/>
  <c r="F48" i="87" s="1"/>
  <c r="I91" i="103"/>
  <c r="I94" i="103" s="1"/>
  <c r="I95" i="103" s="1"/>
  <c r="I97" i="103" s="1"/>
  <c r="F72" i="87"/>
  <c r="E72" i="87"/>
  <c r="I66" i="87"/>
  <c r="I91" i="102"/>
  <c r="I94" i="102" s="1"/>
  <c r="I70" i="87"/>
  <c r="I91" i="104"/>
  <c r="I94" i="104" s="1"/>
  <c r="E99" i="105"/>
  <c r="I95" i="105"/>
  <c r="I97" i="105" s="1"/>
  <c r="E68" i="87"/>
  <c r="F68" i="87"/>
  <c r="F73" i="96"/>
  <c r="I73" i="96" s="1"/>
  <c r="I77" i="96" s="1"/>
  <c r="I85" i="97"/>
  <c r="I88" i="97" s="1"/>
  <c r="E93" i="97" s="1"/>
  <c r="E58" i="87"/>
  <c r="F58" i="87"/>
  <c r="E89" i="95"/>
  <c r="I85" i="95"/>
  <c r="I87" i="95" s="1"/>
  <c r="I91" i="56"/>
  <c r="E96" i="56" s="1"/>
  <c r="I88" i="94"/>
  <c r="I92" i="94" s="1"/>
  <c r="E62" i="87"/>
  <c r="F62" i="87"/>
  <c r="F54" i="87"/>
  <c r="E54" i="87"/>
  <c r="E64" i="87"/>
  <c r="F64" i="87"/>
  <c r="E50" i="87"/>
  <c r="F50" i="87"/>
  <c r="E99" i="103" l="1"/>
  <c r="E48" i="87"/>
  <c r="F66" i="87"/>
  <c r="E66" i="87"/>
  <c r="I95" i="102"/>
  <c r="I97" i="102" s="1"/>
  <c r="E99" i="102"/>
  <c r="I95" i="104"/>
  <c r="I97" i="104" s="1"/>
  <c r="E99" i="104"/>
  <c r="F70" i="87"/>
  <c r="E70" i="87"/>
  <c r="I56" i="87"/>
  <c r="F56" i="87" s="1"/>
  <c r="I79" i="96"/>
  <c r="I82" i="96" s="1"/>
  <c r="I83" i="96" s="1"/>
  <c r="I85" i="96" s="1"/>
  <c r="I89" i="97"/>
  <c r="I91" i="97" s="1"/>
  <c r="I92" i="56"/>
  <c r="I94" i="56" s="1"/>
  <c r="I52" i="87"/>
  <c r="E52" i="87" s="1"/>
  <c r="I94" i="94"/>
  <c r="E87" i="96" l="1"/>
  <c r="I78" i="87"/>
  <c r="E56" i="87"/>
  <c r="F52" i="87"/>
  <c r="I97" i="94"/>
  <c r="I76" i="87"/>
  <c r="I81" i="87" l="1"/>
  <c r="I93" i="87" s="1"/>
  <c r="E100" i="94"/>
  <c r="I98" i="94"/>
  <c r="I99" i="94" s="1"/>
  <c r="I85" i="87" l="1"/>
  <c r="H81" i="87"/>
  <c r="I83" i="87"/>
  <c r="I87" i="87"/>
  <c r="I91" i="87" l="1"/>
  <c r="I95" i="87" s="1"/>
  <c r="E97" i="87" l="1"/>
</calcChain>
</file>

<file path=xl/sharedStrings.xml><?xml version="1.0" encoding="utf-8"?>
<sst xmlns="http://schemas.openxmlformats.org/spreadsheetml/2006/main" count="1277" uniqueCount="263">
  <si>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</si>
  <si>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</si>
  <si>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</si>
  <si>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</si>
  <si>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</si>
  <si>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</si>
  <si>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</si>
  <si>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</si>
  <si>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</si>
  <si>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</si>
  <si>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</si>
  <si>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</si>
  <si>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</si>
  <si>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</si>
  <si>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</si>
  <si>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</si>
  <si>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</si>
  <si>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</si>
  <si>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</si>
  <si>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</si>
  <si>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</si>
  <si>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</si>
  <si>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</si>
  <si>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</si>
  <si>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</si>
  <si>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</si>
  <si>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</si>
  <si>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</si>
  <si>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</si>
  <si>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</si>
  <si>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</si>
  <si>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</si>
  <si>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</si>
  <si>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</si>
  <si>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</si>
  <si>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</si>
  <si>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</si>
  <si>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</si>
  <si>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</si>
  <si>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</si>
  <si>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</si>
  <si>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</si>
  <si>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</si>
  <si>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</si>
  <si>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</si>
  <si>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</si>
  <si>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</si>
  <si>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</si>
  <si>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</si>
  <si>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</si>
  <si>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</si>
  <si>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</si>
  <si>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Nutzungsspezifische Ausstattung</t>
  </si>
  <si>
    <t>LPH 1 Grundlagenermittlung</t>
  </si>
  <si>
    <t>LPH 7 Begleitung der Bauausführung</t>
  </si>
  <si>
    <t>LPH 9 Objektbetreuung</t>
  </si>
  <si>
    <t>6 bis 14</t>
  </si>
  <si>
    <t>1 bis 3</t>
  </si>
  <si>
    <t>6 bis 42</t>
  </si>
  <si>
    <t>Basis b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</si>
  <si>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0,044 x b</t>
    </r>
    <r>
      <rPr>
        <vertAlign val="subscript"/>
        <sz val="10"/>
        <rFont val="Arial"/>
        <family val="2"/>
      </rPr>
      <t xml:space="preserve">w </t>
    </r>
    <r>
      <rPr>
        <sz val="10"/>
        <rFont val="Arial"/>
        <family val="2"/>
      </rPr>
      <t>+ 0,66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]</t>
    </r>
  </si>
  <si>
    <t xml:space="preserve">          Mitwirkung an der Vergabe</t>
  </si>
  <si>
    <r>
      <t>%-Satz für FA [h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= b / BMGL x 100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</si>
  <si>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8 bis 42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</si>
  <si>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0,0425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+ 0,83]</t>
    </r>
  </si>
  <si>
    <r>
      <t>%-Satz für TW [h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= 37,056 x (BMGL)</t>
    </r>
    <r>
      <rPr>
        <vertAlign val="superscript"/>
        <sz val="10"/>
        <rFont val="Arial"/>
        <family val="2"/>
      </rPr>
      <t>(-0,1495)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</si>
  <si>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 xml:space="preserve"> = 0,021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+ 0,761]</t>
    </r>
  </si>
  <si>
    <t xml:space="preserve">LPH 5 Ausführungsplanung </t>
  </si>
  <si>
    <t>LPH 8 Örtliche Bauaufsicht</t>
  </si>
  <si>
    <r>
      <t>Faktor aus Bewertungspunkten [f</t>
    </r>
    <r>
      <rPr>
        <vertAlign val="subscript"/>
        <sz val="10"/>
        <rFont val="Arial"/>
        <family val="2"/>
      </rPr>
      <t>bwS</t>
    </r>
    <r>
      <rPr>
        <sz val="10"/>
        <rFont val="Arial"/>
        <family val="2"/>
      </rPr>
      <t xml:space="preserve"> = 0,013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+ 0,923]</t>
    </r>
  </si>
  <si>
    <r>
      <t>%-Satz für BPS [h</t>
    </r>
    <r>
      <rPr>
        <vertAlign val="subscript"/>
        <sz val="10"/>
        <rFont val="Arial"/>
        <family val="2"/>
      </rPr>
      <t>BPS</t>
    </r>
    <r>
      <rPr>
        <sz val="10"/>
        <rFont val="Arial"/>
        <family val="2"/>
      </rPr>
      <t xml:space="preserve"> = 506,2538 x (BMGL)</t>
    </r>
    <r>
      <rPr>
        <vertAlign val="superscript"/>
        <sz val="10"/>
        <rFont val="Arial"/>
        <family val="2"/>
      </rPr>
      <t>(-0,5074)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</si>
  <si>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Faktor aus Bewertungspunkten [f</t>
    </r>
    <r>
      <rPr>
        <vertAlign val="subscript"/>
        <sz val="10"/>
        <rFont val="Arial"/>
        <family val="2"/>
      </rPr>
      <t>bwA</t>
    </r>
    <r>
      <rPr>
        <sz val="10"/>
        <rFont val="Arial"/>
        <family val="2"/>
      </rPr>
      <t xml:space="preserve"> = 0,057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+ 0,367]</t>
    </r>
  </si>
  <si>
    <r>
      <t>%-Satz für BPA [h</t>
    </r>
    <r>
      <rPr>
        <vertAlign val="subscript"/>
        <sz val="10"/>
        <rFont val="Arial"/>
        <family val="2"/>
      </rPr>
      <t>BPA</t>
    </r>
    <r>
      <rPr>
        <sz val="10"/>
        <rFont val="Arial"/>
        <family val="2"/>
      </rPr>
      <t xml:space="preserve"> = 439,8031 x (BMGL)</t>
    </r>
    <r>
      <rPr>
        <vertAlign val="superscript"/>
        <sz val="10"/>
        <rFont val="Arial"/>
        <family val="2"/>
      </rPr>
      <t>(-0,4760)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</si>
  <si>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Bemessungsgrundlage gesamt: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</si>
  <si>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0,03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+ 0,73]</t>
    </r>
  </si>
  <si>
    <t>LPH 8 Fachbauaufsicht + Dokumentation</t>
  </si>
  <si>
    <t xml:space="preserve">%-Satz für TA </t>
  </si>
  <si>
    <t>ERK %</t>
  </si>
  <si>
    <t>Anforderungsmerkmale/Bewertungspunkte</t>
  </si>
  <si>
    <t>KGR 2 + KGR 4 =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</si>
  <si>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0,0198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+ 0,9406]</t>
    </r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</si>
  <si>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</si>
  <si>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r>
      <t>&lt;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40,00 x (BMGL)</t>
    </r>
    <r>
      <rPr>
        <vertAlign val="superscript"/>
        <sz val="10"/>
        <rFont val="Arial"/>
        <family val="2"/>
      </rPr>
      <t>(-0,1208)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</si>
  <si>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= 12,2611 x (BMGL)</t>
    </r>
    <r>
      <rPr>
        <vertAlign val="superscript"/>
        <sz val="10"/>
        <rFont val="Arial"/>
        <family val="2"/>
      </rPr>
      <t>(-0,0394)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</si>
  <si>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selbstständiger Auftrag</t>
  </si>
  <si>
    <r>
      <t>&lt;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202,00 x (BMGL)</t>
    </r>
    <r>
      <rPr>
        <vertAlign val="superscript"/>
        <sz val="10"/>
        <rFont val="Arial"/>
        <family val="2"/>
      </rPr>
      <t>(-0,2248)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</si>
  <si>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 Mio: [h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= 37,8 x (BMGL)</t>
    </r>
    <r>
      <rPr>
        <vertAlign val="superscript"/>
        <sz val="10"/>
        <rFont val="Arial"/>
        <family val="2"/>
      </rPr>
      <t>(-0,109)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</si>
  <si>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 xml:space="preserve">               </t>
  </si>
  <si>
    <t>%-Satz für OA (Planung + ÖBA)</t>
  </si>
  <si>
    <t>Zusammenstellung der Planungsleistungen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</si>
  <si>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 xml:space="preserve"> = 0,02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+ 0,92]</t>
    </r>
  </si>
  <si>
    <r>
      <t>%-Satz für BKG 2.b, 2.c [h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= (4,60 x (BMGL)</t>
    </r>
    <r>
      <rPr>
        <vertAlign val="superscript"/>
        <sz val="10"/>
        <rFont val="Arial"/>
        <family val="2"/>
      </rPr>
      <t>(-0,15)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</si>
  <si>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LPH 8 Baustellenkoordination</t>
  </si>
  <si>
    <t>Kosten nach ÖNORM B1801-1</t>
  </si>
  <si>
    <t>Zuschlag für Ausfallskosten bei Insolvenzen</t>
  </si>
  <si>
    <t>%-Anteil ERK</t>
  </si>
  <si>
    <r>
      <t xml:space="preserve">Zuschlag für Versicherung </t>
    </r>
    <r>
      <rPr>
        <sz val="10"/>
        <color indexed="23"/>
        <rFont val="Arial"/>
        <family val="2"/>
      </rPr>
      <t>(max. Höhe d. Versicherungsleistung:</t>
    </r>
  </si>
  <si>
    <t>3,0 Mio. 2 x p.a.)</t>
  </si>
  <si>
    <t>LPH 1 Grundlagenanalyse</t>
  </si>
  <si>
    <t>LPH 5 Ausführungsplanung + Dokumentation</t>
  </si>
  <si>
    <t>LPH 6 Mitwirkung an Ausschreibung</t>
  </si>
  <si>
    <t>LPH 8 Bewehrungsabnahmen, Betonprüfung</t>
  </si>
  <si>
    <t>LPH 9 -</t>
  </si>
  <si>
    <t xml:space="preserve">LPH 7 Begleitung der Bauausführung </t>
  </si>
  <si>
    <t>%-Anteil BWK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</si>
  <si>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</si>
  <si>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Prozentanteil an Errichtungskosten (netto, inkl. NK)</t>
  </si>
  <si>
    <t>Ermittlung Bemessungsgrundlage (BMGL)</t>
  </si>
  <si>
    <t>(PL + ÖBA)</t>
  </si>
  <si>
    <t xml:space="preserve">Bruttorauminhalt (BRI) gesamt: </t>
  </si>
  <si>
    <t>Bruttorauminhalt (BRI) betrachteter Raum:</t>
  </si>
  <si>
    <r>
      <t xml:space="preserve">PLANUNGSLEISTUNGEN </t>
    </r>
    <r>
      <rPr>
        <sz val="9"/>
        <color indexed="8"/>
        <rFont val="Arial"/>
        <family val="2"/>
      </rPr>
      <t>(ohne PL, PS, BK)</t>
    </r>
  </si>
  <si>
    <t>Zuschlag für Haftungsrisiken (Wagnis)</t>
  </si>
  <si>
    <r>
      <t>PLANUNGSLEISTUNGEN</t>
    </r>
    <r>
      <rPr>
        <sz val="10"/>
        <color indexed="8"/>
        <rFont val="Arial"/>
        <family val="2"/>
      </rPr>
      <t xml:space="preserve"> (GP)</t>
    </r>
  </si>
  <si>
    <t>Summe Generalplaner  gesamt (GP 2b + PL + ÖBA) netto inkl. NK</t>
  </si>
  <si>
    <t>Summe Generalplaner  gesamt (GP 2b + PL + ÖBA) netto inkl. NK, Zuschläge</t>
  </si>
  <si>
    <t xml:space="preserve">Summe Generalplaner  gesamt (GP 2b + PL + ÖBA) brutto </t>
  </si>
  <si>
    <t>Summe Teil Generalplaner Mangement ohne Nebenkosten</t>
  </si>
  <si>
    <t>Summe Teil Generalplaner Management netto inkl. NK</t>
  </si>
  <si>
    <t xml:space="preserve">Summe Teil Generalplaner Management brutto </t>
  </si>
  <si>
    <t>Summe Teil Thermische Bauphysik ohne Nebenkosten</t>
  </si>
  <si>
    <t>Summe Teil Bauphysik Schallschutz ohne Nebenkosten</t>
  </si>
  <si>
    <t>Summe Teil Bauphysik Raumakustik ohne Nebenkosten</t>
  </si>
  <si>
    <t>Stundenpool (optionale Leistungen)</t>
  </si>
  <si>
    <t>Summe Brandschutz ohne Nebenkosten</t>
  </si>
  <si>
    <t xml:space="preserve">Summe Brandschutz brutto </t>
  </si>
  <si>
    <t>Einbaumöbel</t>
  </si>
  <si>
    <t>Serienmöbel</t>
  </si>
  <si>
    <t>PLANUNGSLEISTUNGEN</t>
  </si>
  <si>
    <t>NEBENKOSTEN</t>
  </si>
  <si>
    <t>mitzuverarbeitende Bausubstanz</t>
  </si>
  <si>
    <t>Umbauzuschlag nach BKG.11</t>
  </si>
  <si>
    <r>
      <t>Vergütung VBKG = BMGL x h</t>
    </r>
    <r>
      <rPr>
        <vertAlign val="subscript"/>
        <sz val="10"/>
        <rFont val="Arial"/>
        <family val="2"/>
      </rPr>
      <t>BKG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</si>
  <si>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BauKG Planungs- und Baukoordination ohne Nebenkosten</t>
  </si>
  <si>
    <t>Summe BauKG Planungs- und Baukoordination netto inkl. NK</t>
  </si>
  <si>
    <t>Summe BauKG Planungs- und Baukoordination brutto</t>
  </si>
  <si>
    <t>Umbauzuschlag nach FA.11</t>
  </si>
  <si>
    <t>Umbauzuschlag nach BP.11</t>
  </si>
  <si>
    <r>
      <t>Vergütung VBPT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</si>
  <si>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r>
      <t>Vergütung VBPS = BMGL x 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</si>
  <si>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Umbauzuschlag nach TA.11</t>
  </si>
  <si>
    <t>Summe Generalplaner gesamt (GP 2b + PL + ÖBA) ohne Nebenkosten</t>
  </si>
  <si>
    <t>Anteil an ERK:</t>
  </si>
  <si>
    <t>Prozentanteil an Errichtungskosten</t>
  </si>
  <si>
    <t>Umbauzuschlag nach GP.11</t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</si>
  <si>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</si>
  <si>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</si>
  <si>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LM.VM</t>
  </si>
  <si>
    <t>Generalplaner Management 2.b nach VM.GP.2023</t>
  </si>
  <si>
    <t>Generalplaner Leitung 2.b nach VM.GP.2023</t>
  </si>
  <si>
    <t xml:space="preserve">BauKG nach VM.BKG.2023 </t>
  </si>
  <si>
    <t xml:space="preserve">Objektplanung Architektur nach VM.OA.2023 </t>
  </si>
  <si>
    <t xml:space="preserve">Einrichtungsplanung-Design nach VM.ED.2023 </t>
  </si>
  <si>
    <t>Freianlagen nach VM.FA.2023</t>
  </si>
  <si>
    <t>Tragwerksplanung nach VM.TW.2023</t>
  </si>
  <si>
    <t>Thermische Bauphysik nach VM.BP.2023</t>
  </si>
  <si>
    <t>Bauphysik Schallschutz nach VM.BP.2023</t>
  </si>
  <si>
    <t>Bauphysik Raumakustik nach VM.BP.2023</t>
  </si>
  <si>
    <t>Technische Ausrüstung nach VM.TA.2023</t>
  </si>
  <si>
    <t>mitzuverarbeitende Bausubstanz (Umbau)</t>
  </si>
  <si>
    <t>ERRICHTUNGSKOSTEN (KGR 1 - 9)</t>
  </si>
  <si>
    <t>BAUWERKSKOSTEN (KGR 2 - 4)</t>
  </si>
  <si>
    <t>Zusatz GP-Koordination Standardraumbuch</t>
  </si>
  <si>
    <t>Zusatz Nachweise der Nachhaltigkeit</t>
  </si>
  <si>
    <t xml:space="preserve">mehr als 50 Ausführungsbeteiligte </t>
  </si>
  <si>
    <t>starke terminliche Verdichtung</t>
  </si>
  <si>
    <t>mehr als 20 Nutzer, Planungsbeteiligte</t>
  </si>
  <si>
    <t>Projekt über 100 Mio €</t>
  </si>
  <si>
    <t>gering          durchschnitt.          hoch</t>
  </si>
  <si>
    <t>gering        durchschnitt.          hoch</t>
  </si>
  <si>
    <r>
      <rPr>
        <b/>
        <sz val="8"/>
        <color indexed="8"/>
        <rFont val="Arial"/>
        <family val="2"/>
      </rPr>
      <t xml:space="preserve">Objektplanung Architekt
</t>
    </r>
    <r>
      <rPr>
        <sz val="8"/>
        <color indexed="8"/>
        <rFont val="Arial"/>
        <family val="2"/>
      </rPr>
      <t>nach VM.OA.2023</t>
    </r>
  </si>
  <si>
    <t>wenn KGR3 &gt; 50% von KGR2 + KGR4 → Abminderung BMGL KGR3</t>
  </si>
  <si>
    <t>wenn KGR 3 &lt; 50% von KGR 2 + KGR 4 → KGR 3 fließt zu 100% in BMGL ein</t>
  </si>
  <si>
    <t>50% =</t>
  </si>
  <si>
    <r>
      <t xml:space="preserve">PLANUNGSLEISTUNGEN </t>
    </r>
    <r>
      <rPr>
        <sz val="10"/>
        <color indexed="8"/>
        <rFont val="Arial"/>
        <family val="2"/>
      </rPr>
      <t>(GP)</t>
    </r>
  </si>
  <si>
    <t>Objektplanung Architektur nach VM.OA.2023</t>
  </si>
  <si>
    <t>Projekte über 100 Mio €</t>
  </si>
  <si>
    <t>mehr als 50 Ausführungsbeteiligte</t>
  </si>
  <si>
    <t>Umbauzuschlag nach AR.18 (2) und OA.11</t>
  </si>
  <si>
    <r>
      <t>Vergütung VOA = BMGL x h</t>
    </r>
    <r>
      <rPr>
        <vertAlign val="subscript"/>
        <sz val="10"/>
        <rFont val="Arial"/>
        <family val="2"/>
      </rPr>
      <t>OA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 xml:space="preserve">LPH  </t>
    </r>
    <r>
      <rPr>
        <i/>
        <sz val="10"/>
        <rFont val="Arial"/>
        <family val="2"/>
      </rPr>
      <t>(inkl. Umbauzuschlag)</t>
    </r>
  </si>
  <si>
    <t>Summe Objektplanung Architekt ohne Nebenkosten</t>
  </si>
  <si>
    <t>Summe Objektplanung Architekt netto inkl. NK</t>
  </si>
  <si>
    <t>Summe Objektplanung Architekt brutto</t>
  </si>
  <si>
    <t>Serienmöbel  *)</t>
  </si>
  <si>
    <t xml:space="preserve">     &lt;-- hier auswählen</t>
  </si>
  <si>
    <t>Umbauzuschlag nach ED.11</t>
  </si>
  <si>
    <r>
      <t>Vergütung VED = BMGL x h</t>
    </r>
    <r>
      <rPr>
        <vertAlign val="subscript"/>
        <sz val="10"/>
        <rFont val="Arial"/>
        <family val="2"/>
      </rPr>
      <t>ED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</si>
  <si>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Zusatz vertiefte Kostenschätzung (vKS)</t>
  </si>
  <si>
    <t>Zusatz vertiefte Kostenberechnung (vKB)</t>
  </si>
  <si>
    <t>Summe Einrichtungsplanung-Design ohne Nebenkosten</t>
  </si>
  <si>
    <t>Summe Einrichtungsplanung-Design netto inkl. NK</t>
  </si>
  <si>
    <t xml:space="preserve">Summe Einrichtungsplanung-Design brutto </t>
  </si>
  <si>
    <t xml:space="preserve">*) </t>
  </si>
  <si>
    <t xml:space="preserve">für das Angebot wird die BMGL bei Serienmöbeln mit 60% der Errichtungskosten angesetzt. </t>
  </si>
  <si>
    <t>Bei der Abrechnung sind die tabellarischen Abminderungen gemäß VM.ED 7(5) anzuwenden,</t>
  </si>
  <si>
    <t>bei den Errichtungskosten einzutragen und die BMGL auf 100% zu stellen.</t>
  </si>
  <si>
    <r>
      <rPr>
        <b/>
        <sz val="8"/>
        <color rgb="FF000000"/>
        <rFont val="Arial"/>
        <family val="2"/>
      </rPr>
      <t xml:space="preserve">Freianlagen </t>
    </r>
    <r>
      <rPr>
        <sz val="8"/>
        <color indexed="8"/>
        <rFont val="Arial"/>
        <family val="2"/>
      </rPr>
      <t xml:space="preserve">
nach VM.FA.2023</t>
    </r>
  </si>
  <si>
    <t>gänzlich oder teilweise in Eigenregie</t>
  </si>
  <si>
    <t>gänzlich oder teilweise durch Gruppen von Privatpersonen</t>
  </si>
  <si>
    <r>
      <t>Vergütung VFA = BMGL x h</t>
    </r>
    <r>
      <rPr>
        <vertAlign val="subscript"/>
        <sz val="10"/>
        <rFont val="Arial"/>
        <family val="2"/>
      </rPr>
      <t>FA</t>
    </r>
    <r>
      <rPr>
        <sz val="10"/>
        <rFont val="Arial"/>
        <family val="2"/>
      </rPr>
      <t xml:space="preserve"> x Umbauzuschlag x 100 % f</t>
    </r>
    <r>
      <rPr>
        <vertAlign val="subscript"/>
        <sz val="10"/>
        <rFont val="Arial"/>
        <family val="2"/>
      </rPr>
      <t>LPH</t>
    </r>
  </si>
  <si>
    <t>Summe Freianlagen ohne Nebenkosten</t>
  </si>
  <si>
    <t>Summe Freianlagen netto inkl. NK</t>
  </si>
  <si>
    <t xml:space="preserve">Summe Freianlagen brutto </t>
  </si>
  <si>
    <r>
      <rPr>
        <b/>
        <sz val="8"/>
        <color rgb="FF000000"/>
        <rFont val="Arial"/>
        <family val="2"/>
      </rPr>
      <t xml:space="preserve">Tragwerksplanung </t>
    </r>
    <r>
      <rPr>
        <sz val="8"/>
        <color indexed="8"/>
        <rFont val="Arial"/>
        <family val="2"/>
      </rPr>
      <t xml:space="preserve">                            
nach VM.TW.2023</t>
    </r>
  </si>
  <si>
    <t>über 100 Mio €</t>
  </si>
  <si>
    <r>
      <t>Vergütung VTW = BMGL x h</t>
    </r>
    <r>
      <rPr>
        <vertAlign val="subscript"/>
        <sz val="10"/>
        <rFont val="Arial"/>
        <family val="2"/>
      </rPr>
      <t>TW</t>
    </r>
    <r>
      <rPr>
        <sz val="10"/>
        <rFont val="Arial"/>
        <family val="2"/>
      </rPr>
      <t xml:space="preserve"> x 100% f</t>
    </r>
    <r>
      <rPr>
        <vertAlign val="subscript"/>
        <sz val="10"/>
        <rFont val="Arial"/>
        <family val="2"/>
      </rPr>
      <t>LPH</t>
    </r>
  </si>
  <si>
    <t>Zusatz Nachweise zur Nachhaltigkeit</t>
  </si>
  <si>
    <t>Summe Tragwerksplanung ohne Nebenkosten</t>
  </si>
  <si>
    <t>Summe Tragwerksplanung netto inkl. NK</t>
  </si>
  <si>
    <t xml:space="preserve">Summe Tragwerksplanung brutto 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</si>
  <si>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</t>
    </r>
    <r>
      <rPr>
        <sz val="10"/>
        <rFont val="Arial"/>
        <family val="2"/>
      </rPr>
      <t>]</t>
    </r>
  </si>
  <si>
    <t>Zusatz Ergebnisse BP in Raumbuch (Standard)</t>
  </si>
  <si>
    <t>Summe Thermische Bauphysik netto inkl. NK</t>
  </si>
  <si>
    <t xml:space="preserve">Summe Thermische Bauphysik brutto </t>
  </si>
  <si>
    <t>Summe Bauphysik Schallschutz netto inkl. NK</t>
  </si>
  <si>
    <t xml:space="preserve">Summe Bauphysik Schallschutz brutto </t>
  </si>
  <si>
    <t>Summe Bauphysik Raumakustik netto inkl. NK</t>
  </si>
  <si>
    <t xml:space="preserve">Summe Bauphysik Raumakustik brutto </t>
  </si>
  <si>
    <t>Zusatz Nachweise Nachhaltigkeit</t>
  </si>
  <si>
    <t>Zusatz viertiefte Kostenberechnung (vKB)</t>
  </si>
  <si>
    <t>Zusatz Bearbeitung von Wandabwicklungen in LPH3</t>
  </si>
  <si>
    <t>1 bis 3%</t>
  </si>
  <si>
    <t>Zusatz Fortschreibung von Wandabwicklungen in LPH5</t>
  </si>
  <si>
    <t>1 bis 2%</t>
  </si>
  <si>
    <t>Zusatz Bearbeitung TGA-Teil eines Raumbuchs</t>
  </si>
  <si>
    <t>Technische Ausrüstung nach VM.TA.2023 - HKLS</t>
  </si>
  <si>
    <t>Technische Ausrüstung nach VM.TA.2023 - Elektro</t>
  </si>
  <si>
    <t>Technische Ausrüstung nach VM.TA.2023 - FöTe</t>
  </si>
  <si>
    <t>Technische Ausrüstung nach VM.TA.2023 - GA</t>
  </si>
  <si>
    <r>
      <rPr>
        <b/>
        <sz val="8"/>
        <color rgb="FF000000"/>
        <rFont val="Arial"/>
        <family val="2"/>
      </rPr>
      <t xml:space="preserve">Technische Ausrüstung  </t>
    </r>
    <r>
      <rPr>
        <sz val="8"/>
        <color indexed="8"/>
        <rFont val="Arial"/>
        <family val="2"/>
      </rPr>
      <t xml:space="preserve">                           
nach VM.TA.2023</t>
    </r>
  </si>
  <si>
    <r>
      <t>Vergütung VTA = BMGL x h</t>
    </r>
    <r>
      <rPr>
        <vertAlign val="subscript"/>
        <sz val="10"/>
        <rFont val="Arial"/>
        <family val="2"/>
      </rPr>
      <t>TA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</si>
  <si>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Summe Teil Technische Ausrüstung ohne Nebenkosten</t>
  </si>
  <si>
    <t>Summe Teil Technische Ausrüstung netto inkl. NK</t>
  </si>
  <si>
    <t xml:space="preserve">Summe Teil Technische Ausrüstung brutto </t>
  </si>
  <si>
    <t>Brandschutz nach VM.BR.2023</t>
  </si>
  <si>
    <t>über 100 Mio €, soweit relevant für BR</t>
  </si>
  <si>
    <r>
      <t>%-Satz für BPT [h</t>
    </r>
    <r>
      <rPr>
        <vertAlign val="subscript"/>
        <sz val="10"/>
        <rFont val="Arial"/>
        <family val="2"/>
      </rPr>
      <t>BPT</t>
    </r>
    <r>
      <rPr>
        <sz val="10"/>
        <rFont val="Arial"/>
        <family val="2"/>
      </rPr>
      <t xml:space="preserve"> = 1,75 x (117,07 x (BMGL)</t>
    </r>
    <r>
      <rPr>
        <vertAlign val="superscript"/>
        <sz val="10"/>
        <rFont val="Arial"/>
        <family val="2"/>
      </rPr>
      <t>(-0,41731)</t>
    </r>
    <r>
      <rPr>
        <sz val="10"/>
        <rFont val="Arial"/>
        <family val="2"/>
      </rPr>
      <t xml:space="preserve"> x f</t>
    </r>
    <r>
      <rPr>
        <vertAlign val="subscript"/>
        <sz val="10"/>
        <rFont val="Arial"/>
        <family val="2"/>
      </rPr>
      <t>bwT)</t>
    </r>
    <r>
      <rPr>
        <sz val="10"/>
        <rFont val="Arial"/>
        <family val="2"/>
      </rPr>
      <t>]</t>
    </r>
  </si>
  <si>
    <t>Summe Brandschutz netto inkl. NK</t>
  </si>
  <si>
    <r>
      <rPr>
        <b/>
        <sz val="8"/>
        <color rgb="FF000000"/>
        <rFont val="Arial"/>
        <family val="2"/>
      </rPr>
      <t xml:space="preserve">Generalplaner Management 2.b   </t>
    </r>
    <r>
      <rPr>
        <sz val="8"/>
        <color indexed="8"/>
        <rFont val="Arial"/>
        <family val="2"/>
      </rPr>
      <t xml:space="preserve">                           nach VM.GP.2023</t>
    </r>
  </si>
  <si>
    <t>0 bis 5</t>
  </si>
  <si>
    <t>0 bis 3</t>
  </si>
  <si>
    <t>0 bis 4</t>
  </si>
  <si>
    <t>0 bis 2</t>
  </si>
  <si>
    <t>gering         durchschnitt.          hoch</t>
  </si>
  <si>
    <r>
      <rPr>
        <b/>
        <sz val="8"/>
        <color rgb="FF000000"/>
        <rFont val="Arial"/>
        <family val="2"/>
      </rPr>
      <t>Einrichtung-Design</t>
    </r>
    <r>
      <rPr>
        <sz val="8"/>
        <color indexed="8"/>
        <rFont val="Arial"/>
        <family val="2"/>
      </rPr>
      <t xml:space="preserve">                             
nach VM.ED.2023</t>
    </r>
  </si>
  <si>
    <r>
      <t>%-Satz für GPb [h</t>
    </r>
    <r>
      <rPr>
        <vertAlign val="subscript"/>
        <sz val="10"/>
        <rFont val="Arial"/>
        <family val="2"/>
      </rPr>
      <t xml:space="preserve">GPb </t>
    </r>
    <r>
      <rPr>
        <sz val="10"/>
        <rFont val="Arial"/>
        <family val="2"/>
      </rPr>
      <t xml:space="preserve">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>x(-0,0778xLN(BMGL)+2,022)xf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</si>
  <si>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r>
      <t>Vergütung V</t>
    </r>
    <r>
      <rPr>
        <vertAlign val="subscript"/>
        <sz val="9"/>
        <rFont val="Arial"/>
        <family val="2"/>
      </rPr>
      <t>BPA</t>
    </r>
    <r>
      <rPr>
        <sz val="9"/>
        <rFont val="Arial"/>
        <family val="2"/>
      </rPr>
      <t xml:space="preserve"> = BMGL x h</t>
    </r>
    <r>
      <rPr>
        <vertAlign val="subscript"/>
        <sz val="9"/>
        <rFont val="Arial"/>
        <family val="2"/>
      </rPr>
      <t>BPA</t>
    </r>
    <r>
      <rPr>
        <sz val="9"/>
        <rFont val="Arial"/>
        <family val="2"/>
      </rPr>
      <t xml:space="preserve"> x 100% f</t>
    </r>
    <r>
      <rPr>
        <vertAlign val="subscript"/>
        <sz val="9"/>
        <rFont val="Arial"/>
        <family val="2"/>
      </rPr>
      <t>LPH</t>
    </r>
    <r>
      <rPr>
        <sz val="9"/>
        <rFont val="Arial"/>
        <family val="2"/>
      </rPr>
      <t xml:space="preserve"> / BRI x betracht. Raum + Umbauzuschlag</t>
    </r>
  </si>
  <si>
    <t>kaufmännische Rundung der Honorare ohne Nachkommastellen</t>
  </si>
  <si>
    <t>kaufmännische Rundung der %-Sätze auf 4 Nachkommastellen</t>
  </si>
  <si>
    <t>Umbauzuschlag nach TW.11</t>
  </si>
  <si>
    <t>Bauteilkatalog zusätzlich zum oa. Raumbuch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</si>
  <si>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</si>
  <si>
    <r>
      <rPr>
        <b/>
        <sz val="8"/>
        <color rgb="FF000000"/>
        <rFont val="Arial"/>
        <family val="2"/>
      </rPr>
      <t xml:space="preserve">Brandschutz </t>
    </r>
    <r>
      <rPr>
        <sz val="8"/>
        <color indexed="8"/>
        <rFont val="Arial"/>
        <family val="2"/>
      </rPr>
      <t xml:space="preserve">                            
nach VM.BR.2023</t>
    </r>
  </si>
  <si>
    <r>
      <rPr>
        <b/>
        <sz val="8"/>
        <color rgb="FF000000"/>
        <rFont val="Arial"/>
        <family val="2"/>
      </rPr>
      <t xml:space="preserve">Bauphysik Raumakustik  </t>
    </r>
    <r>
      <rPr>
        <sz val="8"/>
        <color indexed="8"/>
        <rFont val="Arial"/>
        <family val="2"/>
      </rPr>
      <t xml:space="preserve">                          nach VM.BP+NH.2023</t>
    </r>
  </si>
  <si>
    <r>
      <rPr>
        <b/>
        <sz val="8"/>
        <color rgb="FF000000"/>
        <rFont val="Arial"/>
        <family val="2"/>
      </rPr>
      <t xml:space="preserve">Bauphysik Schallschutz </t>
    </r>
    <r>
      <rPr>
        <sz val="8"/>
        <color indexed="8"/>
        <rFont val="Arial"/>
        <family val="2"/>
      </rPr>
      <t xml:space="preserve">                           nach VM.BP+NH.2023</t>
    </r>
  </si>
  <si>
    <r>
      <rPr>
        <b/>
        <sz val="8"/>
        <color rgb="FF000000"/>
        <rFont val="Arial"/>
        <family val="2"/>
      </rPr>
      <t xml:space="preserve">Thermische Bauphysik </t>
    </r>
    <r>
      <rPr>
        <sz val="8"/>
        <color indexed="8"/>
        <rFont val="Arial"/>
        <family val="2"/>
      </rPr>
      <t xml:space="preserve">                            nach VM.BP+NH.2023</t>
    </r>
  </si>
  <si>
    <t>Zusatz Ergebnisse BP im RMB + Bauteilkatalog</t>
  </si>
  <si>
    <t>Lean Construction Management in LPH 8</t>
  </si>
  <si>
    <t>Zusammenstellung / Bearbeitung eines Raumbuches</t>
  </si>
  <si>
    <t>in Zusammenhang mit baulichen Planungsleistungen (OA)</t>
  </si>
  <si>
    <t>Koordinierung mit PI nach OIB.RL1 (Prüfingenieur)</t>
  </si>
  <si>
    <r>
      <rPr>
        <b/>
        <sz val="8"/>
        <color rgb="FF000000"/>
        <rFont val="Arial"/>
        <family val="2"/>
      </rPr>
      <t xml:space="preserve">Planungs- und Baukoordination
</t>
    </r>
    <r>
      <rPr>
        <sz val="8"/>
        <color indexed="8"/>
        <rFont val="Arial"/>
        <family val="2"/>
      </rPr>
      <t>nach VM.BKG.2023</t>
    </r>
  </si>
  <si>
    <r>
      <rPr>
        <b/>
        <sz val="8"/>
        <color rgb="FF000000"/>
        <rFont val="Arial"/>
        <family val="2"/>
      </rPr>
      <t xml:space="preserve">Generalplaner Management 2.b
</t>
    </r>
    <r>
      <rPr>
        <sz val="8"/>
        <color indexed="8"/>
        <rFont val="Arial"/>
        <family val="2"/>
      </rPr>
      <t>nach VM.GP.2023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</si>
</sst>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#,##0\ &quot;€&quot;"/>
    <numFmt numFmtId="172" formatCode="0.0%"/>
    <numFmt numFmtId="173" formatCode="#,##0.00\ &quot;m³&quot;"/>
    <numFmt numFmtId="174" formatCode="#,##0\ &quot;m³&quot;"/>
    <numFmt numFmtId="175" formatCode="0.0"/>
    <numFmt numFmtId="176" formatCode="#,##0.0"/>
    <numFmt numFmtId="177" formatCode="#,##0\ &quot;h&quot;"/>
    <numFmt numFmtId="178" formatCode="#,##0.00\ &quot;€/h&quot;"/>
    <numFmt numFmtId="179" formatCode="0.0000%"/>
    <numFmt numFmtId="180" formatCode="_-* #,##0_-;\-* #,##0_-;_-* &quot;-&quot;??_-;_-@_-"/>
  </numFmts>
  <fonts count="8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sz val="10"/>
      <name val="Calibri"/>
      <family val="2"/>
    </font>
    <font>
      <i/>
      <sz val="7"/>
      <color indexed="8"/>
      <name val="Arial"/>
      <family val="2"/>
    </font>
    <font>
      <vertAlign val="superscript"/>
      <sz val="10"/>
      <name val="Arial"/>
      <family val="2"/>
    </font>
    <font>
      <i/>
      <sz val="9"/>
      <name val="Arial"/>
      <family val="2"/>
    </font>
    <font>
      <sz val="12"/>
      <color indexed="8"/>
      <name val="Arial"/>
      <family val="2"/>
    </font>
    <font>
      <i/>
      <sz val="10"/>
      <name val="Arial"/>
      <family val="2"/>
    </font>
    <font>
      <sz val="10"/>
      <color indexed="23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8.5"/>
      <color indexed="8"/>
      <name val="Arial"/>
      <family val="2"/>
    </font>
    <font>
      <i/>
      <sz val="9"/>
      <color indexed="8"/>
      <name val="Arial"/>
      <family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8"/>
      <color indexed="56"/>
      <name val="Arial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i/>
      <sz val="10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9"/>
      <color theme="1" tint="0.499984740745262"/>
      <name val="Arial"/>
      <family val="2"/>
    </font>
    <font>
      <sz val="10"/>
      <color theme="0" tint="-0.249977111117893"/>
      <name val="Arial"/>
      <family val="2"/>
    </font>
    <font>
      <i/>
      <sz val="11"/>
      <color theme="1"/>
      <name val="Calibri"/>
      <family val="2"/>
      <scheme val="minor"/>
    </font>
    <font>
      <sz val="8"/>
      <color theme="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b/>
      <sz val="13"/>
      <color rgb="FFFF0000"/>
      <name val="Arial"/>
      <family val="2"/>
    </font>
    <font>
      <b/>
      <sz val="8"/>
      <color indexed="8"/>
      <name val="Arial"/>
      <family val="2"/>
    </font>
    <font>
      <sz val="14"/>
      <color indexed="8"/>
      <name val="Wingdings 3"/>
      <family val="1"/>
      <charset val="2"/>
    </font>
    <font>
      <sz val="9"/>
      <color theme="1"/>
      <name val="Calibri"/>
      <family val="2"/>
      <scheme val="minor"/>
    </font>
    <font>
      <b/>
      <i/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sz val="14"/>
      <name val="Arial"/>
      <family val="2"/>
    </font>
    <font>
      <sz val="7.5"/>
      <color rgb="FFFF0000"/>
      <name val="Arial"/>
      <family val="2"/>
    </font>
    <font>
      <vertAlign val="subscript"/>
      <sz val="9"/>
      <name val="Arial"/>
      <family val="2"/>
    </font>
    <font>
      <sz val="9"/>
      <color rgb="FF0070C0"/>
      <name val="Arial"/>
      <family val="2"/>
    </font>
    <font>
      <sz val="9"/>
      <color theme="0" tint="-0.3499862666707357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/>
      <top/>
      <bottom style="hair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/>
      </left>
      <right/>
      <top style="hair">
        <color theme="0"/>
      </top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 style="dotted">
        <color theme="0" tint="-4.9989318521683403E-2"/>
      </bottom>
      <diagonal/>
    </border>
    <border>
      <left/>
      <right/>
      <top style="dotted">
        <color theme="0" tint="-4.9989318521683403E-2"/>
      </top>
      <bottom/>
      <diagonal/>
    </border>
    <border>
      <left style="thin">
        <color theme="0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 tint="-0.14996795556505021"/>
      </bottom>
      <diagonal/>
    </border>
  </borders>
  <cellStyleXfs count="48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7" fillId="8" borderId="7" applyNumberFormat="0" applyAlignment="0" applyProtection="0"/>
    <xf numFmtId="0" fontId="38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9" fillId="9" borderId="8" applyNumberFormat="0" applyAlignment="0" applyProtection="0"/>
    <xf numFmtId="0" fontId="40" fillId="0" borderId="9" applyNumberFormat="0" applyFill="0" applyAlignment="0" applyProtection="0"/>
    <xf numFmtId="0" fontId="4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42" fillId="11" borderId="0" applyNumberFormat="0" applyBorder="0" applyAlignment="0" applyProtection="0"/>
    <xf numFmtId="0" fontId="13" fillId="0" borderId="0" applyFont="0" applyFill="0" applyBorder="0" applyAlignment="0" applyProtection="0"/>
    <xf numFmtId="0" fontId="43" fillId="12" borderId="0" applyNumberFormat="0" applyBorder="0" applyAlignment="0" applyProtection="0"/>
    <xf numFmtId="0" fontId="35" fillId="13" borderId="10" applyNumberFormat="0" applyFont="0" applyAlignment="0" applyProtection="0"/>
    <xf numFmtId="9" fontId="3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4" fillId="14" borderId="0" applyNumberFormat="0" applyBorder="0" applyAlignment="0" applyProtection="0"/>
    <xf numFmtId="0" fontId="35" fillId="0" borderId="0"/>
    <xf numFmtId="0" fontId="2" fillId="0" borderId="0"/>
    <xf numFmtId="0" fontId="4" fillId="0" borderId="0"/>
    <xf numFmtId="0" fontId="35" fillId="0" borderId="0"/>
    <xf numFmtId="0" fontId="2" fillId="0" borderId="0"/>
    <xf numFmtId="0" fontId="2" fillId="0" borderId="0"/>
    <xf numFmtId="0" fontId="13" fillId="0" borderId="0"/>
    <xf numFmtId="0" fontId="7" fillId="0" borderId="0"/>
    <xf numFmtId="0" fontId="45" fillId="0" borderId="0" applyNumberFormat="0" applyFill="0" applyBorder="0" applyAlignment="0" applyProtection="0"/>
    <xf numFmtId="0" fontId="46" fillId="0" borderId="11" applyNumberFormat="0" applyFill="0" applyAlignment="0" applyProtection="0"/>
    <xf numFmtId="0" fontId="47" fillId="0" borderId="12" applyNumberFormat="0" applyFill="0" applyAlignment="0" applyProtection="0"/>
    <xf numFmtId="0" fontId="48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0" borderId="0" applyNumberFormat="0" applyFill="0" applyBorder="0" applyAlignment="0" applyProtection="0"/>
    <xf numFmtId="0" fontId="51" fillId="15" borderId="15" applyNumberFormat="0" applyAlignment="0" applyProtection="0"/>
    <xf numFmtId="43" fontId="3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662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164" fontId="5" fillId="0" borderId="0" xfId="33" applyNumberFormat="1" applyFont="1" applyAlignment="1">
      <alignment horizontal="left"/>
    </xf>
    <xf numFmtId="165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4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10" fontId="15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16" fillId="0" borderId="0" xfId="33" applyFont="1"/>
    <xf numFmtId="0" fontId="6" fillId="0" borderId="0" xfId="33" applyFont="1" applyAlignment="1">
      <alignment horizontal="center"/>
    </xf>
    <xf numFmtId="0" fontId="5" fillId="0" borderId="0" xfId="33" applyFont="1" applyAlignment="1">
      <alignment vertical="top"/>
    </xf>
    <xf numFmtId="0" fontId="0" fillId="0" borderId="0" xfId="0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10" fillId="0" borderId="0" xfId="30" applyNumberFormat="1" applyFont="1" applyAlignment="1">
      <alignment vertical="center"/>
    </xf>
    <xf numFmtId="3" fontId="15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9" fillId="0" borderId="0" xfId="33" applyFont="1"/>
    <xf numFmtId="3" fontId="9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0" fontId="6" fillId="0" borderId="2" xfId="33" applyFont="1" applyBorder="1" applyAlignment="1">
      <alignment horizontal="left"/>
    </xf>
    <xf numFmtId="0" fontId="6" fillId="0" borderId="3" xfId="33" applyFont="1" applyBorder="1" applyAlignment="1">
      <alignment horizontal="left"/>
    </xf>
    <xf numFmtId="10" fontId="17" fillId="0" borderId="0" xfId="33" applyNumberFormat="1" applyFont="1" applyAlignment="1">
      <alignment horizontal="left" wrapText="1"/>
    </xf>
    <xf numFmtId="3" fontId="9" fillId="0" borderId="0" xfId="33" applyNumberFormat="1" applyFont="1" applyAlignment="1">
      <alignment horizontal="right"/>
    </xf>
    <xf numFmtId="10" fontId="5" fillId="0" borderId="2" xfId="33" applyNumberFormat="1" applyFont="1" applyBorder="1" applyAlignment="1">
      <alignment horizontal="right"/>
    </xf>
    <xf numFmtId="168" fontId="2" fillId="0" borderId="0" xfId="30" applyNumberFormat="1"/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9" fontId="2" fillId="0" borderId="4" xfId="30" applyNumberFormat="1" applyBorder="1" applyAlignment="1">
      <alignment horizontal="center"/>
    </xf>
    <xf numFmtId="167" fontId="7" fillId="0" borderId="5" xfId="30" applyNumberFormat="1" applyFont="1" applyBorder="1"/>
    <xf numFmtId="0" fontId="2" fillId="0" borderId="5" xfId="30" applyBorder="1"/>
    <xf numFmtId="0" fontId="11" fillId="0" borderId="0" xfId="30" applyFont="1"/>
    <xf numFmtId="0" fontId="11" fillId="0" borderId="0" xfId="30" applyFont="1" applyAlignment="1">
      <alignment horizontal="right"/>
    </xf>
    <xf numFmtId="166" fontId="11" fillId="0" borderId="0" xfId="30" applyNumberFormat="1" applyFont="1"/>
    <xf numFmtId="0" fontId="18" fillId="16" borderId="0" xfId="33" applyFont="1" applyFill="1"/>
    <xf numFmtId="0" fontId="18" fillId="0" borderId="0" xfId="33" applyFont="1"/>
    <xf numFmtId="9" fontId="2" fillId="0" borderId="5" xfId="30" applyNumberFormat="1" applyBorder="1" applyAlignment="1">
      <alignment horizontal="center"/>
    </xf>
    <xf numFmtId="0" fontId="1" fillId="16" borderId="0" xfId="33" applyFont="1" applyFill="1" applyAlignment="1">
      <alignment horizontal="left"/>
    </xf>
    <xf numFmtId="3" fontId="14" fillId="0" borderId="0" xfId="33" applyNumberFormat="1" applyFont="1" applyAlignment="1">
      <alignment vertical="center"/>
    </xf>
    <xf numFmtId="9" fontId="5" fillId="0" borderId="0" xfId="33" applyNumberFormat="1" applyFont="1" applyAlignment="1">
      <alignment horizontal="right"/>
    </xf>
    <xf numFmtId="10" fontId="15" fillId="0" borderId="0" xfId="33" applyNumberFormat="1" applyFont="1" applyAlignment="1">
      <alignment horizontal="right" vertical="center"/>
    </xf>
    <xf numFmtId="9" fontId="5" fillId="0" borderId="0" xfId="33" applyNumberFormat="1" applyFont="1" applyAlignment="1">
      <alignment horizontal="right" vertical="center"/>
    </xf>
    <xf numFmtId="9" fontId="1" fillId="16" borderId="0" xfId="33" applyNumberFormat="1" applyFont="1" applyFill="1"/>
    <xf numFmtId="0" fontId="6" fillId="0" borderId="16" xfId="33" applyFont="1" applyBorder="1" applyAlignment="1">
      <alignment vertical="center"/>
    </xf>
    <xf numFmtId="0" fontId="14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10" fillId="16" borderId="16" xfId="33" applyNumberFormat="1" applyFont="1" applyFill="1" applyBorder="1" applyAlignment="1">
      <alignment horizontal="left" vertical="center"/>
    </xf>
    <xf numFmtId="0" fontId="10" fillId="16" borderId="16" xfId="33" applyFont="1" applyFill="1" applyBorder="1" applyAlignment="1">
      <alignment vertical="center"/>
    </xf>
    <xf numFmtId="9" fontId="5" fillId="0" borderId="16" xfId="33" applyNumberFormat="1" applyFont="1" applyBorder="1" applyAlignment="1">
      <alignment horizontal="right" vertical="center"/>
    </xf>
    <xf numFmtId="1" fontId="5" fillId="0" borderId="17" xfId="33" applyNumberFormat="1" applyFont="1" applyBorder="1" applyAlignment="1">
      <alignment horizontal="left"/>
    </xf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9" fontId="5" fillId="0" borderId="17" xfId="33" applyNumberFormat="1" applyFont="1" applyBorder="1" applyAlignment="1">
      <alignment horizontal="right"/>
    </xf>
    <xf numFmtId="1" fontId="5" fillId="0" borderId="18" xfId="33" applyNumberFormat="1" applyFont="1" applyBorder="1" applyAlignment="1">
      <alignment horizontal="left"/>
    </xf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9" fontId="5" fillId="0" borderId="18" xfId="33" applyNumberFormat="1" applyFont="1" applyBorder="1" applyAlignment="1">
      <alignment horizontal="right"/>
    </xf>
    <xf numFmtId="165" fontId="5" fillId="0" borderId="17" xfId="33" applyNumberFormat="1" applyFont="1" applyBorder="1" applyAlignment="1">
      <alignment horizontal="left"/>
    </xf>
    <xf numFmtId="0" fontId="5" fillId="0" borderId="18" xfId="33" applyFont="1" applyBorder="1" applyAlignment="1">
      <alignment horizontal="left"/>
    </xf>
    <xf numFmtId="9" fontId="5" fillId="0" borderId="19" xfId="33" applyNumberFormat="1" applyFont="1" applyBorder="1" applyAlignment="1">
      <alignment horizontal="right"/>
    </xf>
    <xf numFmtId="3" fontId="15" fillId="0" borderId="0" xfId="33" applyNumberFormat="1" applyFont="1" applyAlignment="1">
      <alignment horizontal="right" vertical="center"/>
    </xf>
    <xf numFmtId="42" fontId="1" fillId="16" borderId="0" xfId="33" applyNumberFormat="1" applyFont="1" applyFill="1" applyAlignment="1">
      <alignment horizontal="right"/>
    </xf>
    <xf numFmtId="42" fontId="2" fillId="0" borderId="0" xfId="30" applyNumberFormat="1"/>
    <xf numFmtId="42" fontId="1" fillId="0" borderId="0" xfId="30" applyNumberFormat="1" applyFont="1"/>
    <xf numFmtId="42" fontId="2" fillId="0" borderId="4" xfId="30" applyNumberFormat="1" applyBorder="1"/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9" fillId="16" borderId="0" xfId="30" applyNumberFormat="1" applyFont="1" applyFill="1"/>
    <xf numFmtId="42" fontId="1" fillId="16" borderId="0" xfId="30" applyNumberFormat="1" applyFont="1" applyFill="1"/>
    <xf numFmtId="4" fontId="2" fillId="16" borderId="0" xfId="30" applyNumberFormat="1" applyFill="1" applyAlignment="1">
      <alignment vertical="center"/>
    </xf>
    <xf numFmtId="4" fontId="2" fillId="0" borderId="0" xfId="30" applyNumberFormat="1" applyAlignment="1">
      <alignment vertical="center"/>
    </xf>
    <xf numFmtId="3" fontId="2" fillId="16" borderId="0" xfId="30" applyNumberFormat="1" applyFill="1" applyAlignment="1">
      <alignment vertical="center"/>
    </xf>
    <xf numFmtId="173" fontId="2" fillId="0" borderId="0" xfId="30" applyNumberFormat="1" applyAlignment="1">
      <alignment vertical="center"/>
    </xf>
    <xf numFmtId="9" fontId="5" fillId="17" borderId="20" xfId="33" applyNumberFormat="1" applyFont="1" applyFill="1" applyBorder="1" applyAlignment="1" applyProtection="1">
      <alignment horizontal="right"/>
      <protection locked="0"/>
    </xf>
    <xf numFmtId="9" fontId="5" fillId="17" borderId="19" xfId="33" applyNumberFormat="1" applyFont="1" applyFill="1" applyBorder="1" applyAlignment="1" applyProtection="1">
      <alignment horizontal="right"/>
      <protection locked="0"/>
    </xf>
    <xf numFmtId="9" fontId="6" fillId="0" borderId="19" xfId="33" applyNumberFormat="1" applyFont="1" applyBorder="1" applyAlignment="1">
      <alignment horizontal="right"/>
    </xf>
    <xf numFmtId="0" fontId="10" fillId="0" borderId="0" xfId="33" applyFont="1" applyAlignment="1">
      <alignment horizontal="left"/>
    </xf>
    <xf numFmtId="9" fontId="5" fillId="0" borderId="0" xfId="33" applyNumberFormat="1" applyFont="1"/>
    <xf numFmtId="9" fontId="2" fillId="16" borderId="0" xfId="30" applyNumberFormat="1" applyFill="1"/>
    <xf numFmtId="0" fontId="5" fillId="0" borderId="0" xfId="33" applyFont="1" applyAlignment="1">
      <alignment vertical="center"/>
    </xf>
    <xf numFmtId="0" fontId="23" fillId="0" borderId="0" xfId="30" applyFont="1" applyAlignment="1">
      <alignment vertical="center"/>
    </xf>
    <xf numFmtId="0" fontId="16" fillId="0" borderId="0" xfId="33" applyFont="1" applyAlignment="1">
      <alignment vertical="center"/>
    </xf>
    <xf numFmtId="0" fontId="1" fillId="16" borderId="0" xfId="33" applyFont="1" applyFill="1" applyAlignment="1">
      <alignment horizontal="left" vertical="center"/>
    </xf>
    <xf numFmtId="0" fontId="18" fillId="16" borderId="0" xfId="33" applyFont="1" applyFill="1" applyAlignment="1">
      <alignment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0" fontId="53" fillId="0" borderId="0" xfId="30" applyFont="1" applyAlignment="1">
      <alignment vertical="center"/>
    </xf>
    <xf numFmtId="174" fontId="2" fillId="17" borderId="0" xfId="30" applyNumberFormat="1" applyFill="1" applyAlignment="1" applyProtection="1">
      <alignment vertical="center"/>
      <protection locked="0"/>
    </xf>
    <xf numFmtId="0" fontId="54" fillId="0" borderId="0" xfId="33" applyFont="1"/>
    <xf numFmtId="0" fontId="24" fillId="0" borderId="0" xfId="33" applyFont="1" applyAlignment="1">
      <alignment vertical="center"/>
    </xf>
    <xf numFmtId="42" fontId="9" fillId="0" borderId="0" xfId="33" applyNumberFormat="1" applyFont="1"/>
    <xf numFmtId="42" fontId="9" fillId="0" borderId="0" xfId="33" applyNumberFormat="1" applyFont="1" applyAlignment="1">
      <alignment horizontal="right"/>
    </xf>
    <xf numFmtId="42" fontId="5" fillId="0" borderId="0" xfId="33" applyNumberFormat="1" applyFont="1" applyAlignment="1">
      <alignment horizontal="right"/>
    </xf>
    <xf numFmtId="1" fontId="9" fillId="0" borderId="16" xfId="33" applyNumberFormat="1" applyFont="1" applyBorder="1" applyAlignment="1">
      <alignment horizontal="left" vertical="center"/>
    </xf>
    <xf numFmtId="164" fontId="9" fillId="0" borderId="16" xfId="33" applyNumberFormat="1" applyFont="1" applyBorder="1" applyAlignment="1">
      <alignment horizontal="left" vertical="center"/>
    </xf>
    <xf numFmtId="0" fontId="9" fillId="0" borderId="16" xfId="33" applyFont="1" applyBorder="1" applyAlignment="1">
      <alignment vertical="center"/>
    </xf>
    <xf numFmtId="42" fontId="9" fillId="0" borderId="16" xfId="33" applyNumberFormat="1" applyFont="1" applyBorder="1"/>
    <xf numFmtId="3" fontId="15" fillId="0" borderId="6" xfId="33" applyNumberFormat="1" applyFont="1" applyBorder="1" applyAlignment="1">
      <alignment vertical="center"/>
    </xf>
    <xf numFmtId="172" fontId="2" fillId="0" borderId="0" xfId="30" applyNumberFormat="1" applyAlignment="1">
      <alignment horizontal="right"/>
    </xf>
    <xf numFmtId="172" fontId="2" fillId="0" borderId="4" xfId="30" applyNumberFormat="1" applyBorder="1" applyAlignment="1">
      <alignment horizontal="center"/>
    </xf>
    <xf numFmtId="172" fontId="2" fillId="0" borderId="5" xfId="30" applyNumberFormat="1" applyBorder="1" applyAlignment="1">
      <alignment horizontal="center"/>
    </xf>
    <xf numFmtId="0" fontId="2" fillId="16" borderId="0" xfId="30" applyFill="1" applyAlignment="1">
      <alignment horizontal="right"/>
    </xf>
    <xf numFmtId="172" fontId="5" fillId="0" borderId="16" xfId="33" applyNumberFormat="1" applyFont="1" applyBorder="1" applyAlignment="1">
      <alignment horizontal="right" vertical="center"/>
    </xf>
    <xf numFmtId="172" fontId="5" fillId="0" borderId="0" xfId="33" applyNumberFormat="1" applyFont="1" applyAlignment="1">
      <alignment horizontal="right"/>
    </xf>
    <xf numFmtId="172" fontId="5" fillId="0" borderId="17" xfId="33" applyNumberFormat="1" applyFont="1" applyBorder="1" applyAlignment="1">
      <alignment horizontal="right"/>
    </xf>
    <xf numFmtId="172" fontId="5" fillId="0" borderId="18" xfId="33" applyNumberFormat="1" applyFont="1" applyBorder="1" applyAlignment="1">
      <alignment horizontal="right"/>
    </xf>
    <xf numFmtId="172" fontId="5" fillId="0" borderId="0" xfId="33" applyNumberFormat="1" applyFont="1" applyAlignment="1">
      <alignment horizontal="right" vertical="center"/>
    </xf>
    <xf numFmtId="172" fontId="1" fillId="16" borderId="0" xfId="33" applyNumberFormat="1" applyFont="1" applyFill="1"/>
    <xf numFmtId="10" fontId="17" fillId="0" borderId="0" xfId="33" applyNumberFormat="1" applyFont="1" applyAlignment="1">
      <alignment horizontal="right" vertical="center"/>
    </xf>
    <xf numFmtId="3" fontId="17" fillId="0" borderId="0" xfId="33" applyNumberFormat="1" applyFont="1" applyAlignment="1">
      <alignment horizontal="center" vertical="center"/>
    </xf>
    <xf numFmtId="42" fontId="1" fillId="16" borderId="0" xfId="30" applyNumberFormat="1" applyFont="1" applyFill="1" applyAlignment="1">
      <alignment horizontal="right"/>
    </xf>
    <xf numFmtId="42" fontId="2" fillId="0" borderId="0" xfId="30" applyNumberFormat="1" applyAlignment="1">
      <alignment horizontal="right"/>
    </xf>
    <xf numFmtId="42" fontId="1" fillId="0" borderId="0" xfId="30" applyNumberFormat="1" applyFont="1" applyAlignment="1">
      <alignment horizontal="right"/>
    </xf>
    <xf numFmtId="42" fontId="2" fillId="0" borderId="4" xfId="30" applyNumberFormat="1" applyBorder="1" applyAlignment="1">
      <alignment horizontal="right"/>
    </xf>
    <xf numFmtId="42" fontId="9" fillId="16" borderId="16" xfId="33" applyNumberFormat="1" applyFont="1" applyFill="1" applyBorder="1"/>
    <xf numFmtId="42" fontId="9" fillId="16" borderId="20" xfId="33" applyNumberFormat="1" applyFont="1" applyFill="1" applyBorder="1"/>
    <xf numFmtId="175" fontId="17" fillId="0" borderId="0" xfId="33" applyNumberFormat="1" applyFont="1" applyAlignment="1">
      <alignment horizontal="right" vertical="center"/>
    </xf>
    <xf numFmtId="0" fontId="55" fillId="17" borderId="0" xfId="30" applyFont="1" applyFill="1" applyProtection="1">
      <protection locked="0"/>
    </xf>
    <xf numFmtId="3" fontId="10" fillId="0" borderId="0" xfId="33" applyNumberFormat="1" applyFont="1"/>
    <xf numFmtId="42" fontId="0" fillId="0" borderId="0" xfId="0" applyNumberFormat="1"/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9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57" fillId="0" borderId="0" xfId="31" applyFont="1" applyAlignment="1">
      <alignment vertical="center"/>
    </xf>
    <xf numFmtId="10" fontId="2" fillId="0" borderId="0" xfId="31" applyNumberFormat="1" applyAlignment="1">
      <alignment horizontal="right" vertical="center"/>
    </xf>
    <xf numFmtId="168" fontId="2" fillId="0" borderId="0" xfId="31" applyNumberFormat="1" applyAlignment="1">
      <alignment horizontal="right" vertical="center"/>
    </xf>
    <xf numFmtId="0" fontId="57" fillId="0" borderId="2" xfId="31" applyFont="1" applyBorder="1" applyAlignment="1">
      <alignment vertical="center"/>
    </xf>
    <xf numFmtId="0" fontId="2" fillId="0" borderId="0" xfId="31" applyAlignment="1">
      <alignment horizontal="left" vertical="center"/>
    </xf>
    <xf numFmtId="9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168" fontId="2" fillId="0" borderId="2" xfId="31" applyNumberFormat="1" applyBorder="1" applyAlignment="1">
      <alignment vertical="center"/>
    </xf>
    <xf numFmtId="168" fontId="9" fillId="0" borderId="0" xfId="31" applyNumberFormat="1" applyFont="1" applyAlignment="1">
      <alignment vertical="center"/>
    </xf>
    <xf numFmtId="168" fontId="11" fillId="0" borderId="0" xfId="31" applyNumberFormat="1" applyFont="1" applyAlignment="1">
      <alignment horizontal="right" vertical="center"/>
    </xf>
    <xf numFmtId="10" fontId="1" fillId="0" borderId="0" xfId="22" applyNumberFormat="1" applyFont="1" applyFill="1" applyAlignment="1" applyProtection="1">
      <alignment horizontal="right" vertical="center"/>
    </xf>
    <xf numFmtId="1" fontId="3" fillId="16" borderId="0" xfId="12" applyNumberFormat="1" applyFont="1" applyFill="1" applyBorder="1" applyAlignment="1" applyProtection="1">
      <alignment horizontal="center" vertical="center"/>
    </xf>
    <xf numFmtId="175" fontId="17" fillId="0" borderId="0" xfId="33" applyNumberFormat="1" applyFont="1" applyAlignment="1">
      <alignment vertical="center"/>
    </xf>
    <xf numFmtId="0" fontId="59" fillId="18" borderId="0" xfId="30" applyFont="1" applyFill="1"/>
    <xf numFmtId="166" fontId="59" fillId="18" borderId="0" xfId="30" applyNumberFormat="1" applyFont="1" applyFill="1"/>
    <xf numFmtId="0" fontId="53" fillId="18" borderId="0" xfId="30" applyFont="1" applyFill="1"/>
    <xf numFmtId="167" fontId="60" fillId="18" borderId="0" xfId="30" applyNumberFormat="1" applyFont="1" applyFill="1"/>
    <xf numFmtId="9" fontId="53" fillId="18" borderId="0" xfId="30" applyNumberFormat="1" applyFont="1" applyFill="1" applyAlignment="1">
      <alignment horizontal="center"/>
    </xf>
    <xf numFmtId="42" fontId="59" fillId="18" borderId="0" xfId="30" applyNumberFormat="1" applyFont="1" applyFill="1"/>
    <xf numFmtId="42" fontId="9" fillId="0" borderId="20" xfId="33" applyNumberFormat="1" applyFont="1" applyBorder="1"/>
    <xf numFmtId="0" fontId="59" fillId="18" borderId="0" xfId="33" applyFont="1" applyFill="1" applyAlignment="1">
      <alignment horizontal="left" vertical="center"/>
    </xf>
    <xf numFmtId="0" fontId="61" fillId="18" borderId="0" xfId="33" applyFont="1" applyFill="1" applyAlignment="1">
      <alignment vertical="center"/>
    </xf>
    <xf numFmtId="3" fontId="62" fillId="18" borderId="0" xfId="33" applyNumberFormat="1" applyFont="1" applyFill="1" applyAlignment="1">
      <alignment horizontal="center" vertical="center"/>
    </xf>
    <xf numFmtId="42" fontId="59" fillId="18" borderId="23" xfId="33" applyNumberFormat="1" applyFont="1" applyFill="1" applyBorder="1" applyAlignment="1">
      <alignment horizontal="right" vertical="center"/>
    </xf>
    <xf numFmtId="42" fontId="11" fillId="18" borderId="0" xfId="31" applyNumberFormat="1" applyFont="1" applyFill="1" applyAlignment="1">
      <alignment horizontal="right" vertical="center"/>
    </xf>
    <xf numFmtId="0" fontId="59" fillId="18" borderId="0" xfId="30" applyFont="1" applyFill="1" applyAlignment="1">
      <alignment horizontal="right"/>
    </xf>
    <xf numFmtId="42" fontId="59" fillId="18" borderId="0" xfId="30" applyNumberFormat="1" applyFont="1" applyFill="1" applyAlignment="1">
      <alignment horizontal="right"/>
    </xf>
    <xf numFmtId="0" fontId="27" fillId="0" borderId="0" xfId="33" applyFont="1"/>
    <xf numFmtId="0" fontId="28" fillId="0" borderId="0" xfId="33" applyFont="1" applyAlignment="1">
      <alignment horizontal="left"/>
    </xf>
    <xf numFmtId="10" fontId="27" fillId="0" borderId="0" xfId="33" applyNumberFormat="1" applyFont="1" applyAlignment="1">
      <alignment horizontal="right"/>
    </xf>
    <xf numFmtId="3" fontId="27" fillId="0" borderId="0" xfId="33" applyNumberFormat="1" applyFont="1" applyAlignment="1">
      <alignment horizontal="right"/>
    </xf>
    <xf numFmtId="0" fontId="63" fillId="0" borderId="0" xfId="0" applyFont="1"/>
    <xf numFmtId="0" fontId="61" fillId="18" borderId="0" xfId="33" applyFont="1" applyFill="1"/>
    <xf numFmtId="3" fontId="62" fillId="18" borderId="0" xfId="33" applyNumberFormat="1" applyFont="1" applyFill="1" applyAlignment="1">
      <alignment horizontal="center"/>
    </xf>
    <xf numFmtId="42" fontId="59" fillId="18" borderId="23" xfId="33" applyNumberFormat="1" applyFont="1" applyFill="1" applyBorder="1" applyAlignment="1">
      <alignment horizontal="right"/>
    </xf>
    <xf numFmtId="10" fontId="27" fillId="0" borderId="0" xfId="22" applyNumberFormat="1" applyFont="1" applyProtection="1"/>
    <xf numFmtId="10" fontId="64" fillId="0" borderId="0" xfId="33" applyNumberFormat="1" applyFont="1"/>
    <xf numFmtId="42" fontId="9" fillId="16" borderId="19" xfId="33" applyNumberFormat="1" applyFont="1" applyFill="1" applyBorder="1"/>
    <xf numFmtId="42" fontId="9" fillId="16" borderId="24" xfId="33" applyNumberFormat="1" applyFont="1" applyFill="1" applyBorder="1"/>
    <xf numFmtId="42" fontId="59" fillId="18" borderId="0" xfId="31" applyNumberFormat="1" applyFont="1" applyFill="1" applyAlignment="1">
      <alignment horizontal="right" vertical="center"/>
    </xf>
    <xf numFmtId="10" fontId="5" fillId="0" borderId="16" xfId="33" applyNumberFormat="1" applyFont="1" applyBorder="1" applyAlignment="1">
      <alignment horizontal="right" vertical="center"/>
    </xf>
    <xf numFmtId="10" fontId="5" fillId="0" borderId="17" xfId="33" applyNumberFormat="1" applyFont="1" applyBorder="1" applyAlignment="1">
      <alignment horizontal="right"/>
    </xf>
    <xf numFmtId="10" fontId="5" fillId="0" borderId="18" xfId="33" applyNumberFormat="1" applyFont="1" applyBorder="1" applyAlignment="1">
      <alignment horizontal="right"/>
    </xf>
    <xf numFmtId="10" fontId="5" fillId="0" borderId="0" xfId="33" applyNumberFormat="1" applyFont="1" applyAlignment="1">
      <alignment horizontal="right" vertical="center"/>
    </xf>
    <xf numFmtId="10" fontId="1" fillId="16" borderId="0" xfId="33" applyNumberFormat="1" applyFont="1" applyFill="1"/>
    <xf numFmtId="10" fontId="55" fillId="0" borderId="0" xfId="30" applyNumberFormat="1" applyFont="1" applyAlignment="1">
      <alignment horizontal="center"/>
    </xf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53" fillId="18" borderId="0" xfId="30" applyNumberFormat="1" applyFont="1" applyFill="1" applyAlignment="1">
      <alignment horizont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6" xfId="31" applyNumberFormat="1" applyFill="1" applyBorder="1" applyAlignment="1" applyProtection="1">
      <alignment horizontal="right" vertical="center"/>
      <protection locked="0"/>
    </xf>
    <xf numFmtId="10" fontId="2" fillId="0" borderId="6" xfId="31" applyNumberFormat="1" applyBorder="1" applyAlignment="1">
      <alignment horizontal="right" vertical="center"/>
    </xf>
    <xf numFmtId="10" fontId="2" fillId="16" borderId="0" xfId="30" applyNumberFormat="1" applyFill="1"/>
    <xf numFmtId="0" fontId="9" fillId="0" borderId="0" xfId="33" applyFont="1" applyAlignment="1">
      <alignment vertical="center"/>
    </xf>
    <xf numFmtId="177" fontId="9" fillId="17" borderId="27" xfId="33" applyNumberFormat="1" applyFont="1" applyFill="1" applyBorder="1" applyProtection="1">
      <protection locked="0"/>
    </xf>
    <xf numFmtId="178" fontId="2" fillId="17" borderId="0" xfId="31" applyNumberFormat="1" applyFill="1" applyAlignment="1" applyProtection="1">
      <alignment horizontal="right" vertical="center"/>
      <protection locked="0"/>
    </xf>
    <xf numFmtId="179" fontId="1" fillId="16" borderId="0" xfId="22" applyNumberFormat="1" applyFont="1" applyFill="1" applyAlignment="1" applyProtection="1">
      <alignment horizontal="right" vertical="center"/>
    </xf>
    <xf numFmtId="168" fontId="2" fillId="0" borderId="28" xfId="31" applyNumberFormat="1" applyBorder="1" applyAlignment="1">
      <alignment vertical="center"/>
    </xf>
    <xf numFmtId="168" fontId="2" fillId="0" borderId="29" xfId="31" applyNumberFormat="1" applyBorder="1" applyAlignment="1">
      <alignment vertical="center"/>
    </xf>
    <xf numFmtId="168" fontId="9" fillId="0" borderId="6" xfId="31" applyNumberFormat="1" applyFont="1" applyBorder="1" applyAlignment="1">
      <alignment vertical="center"/>
    </xf>
    <xf numFmtId="172" fontId="5" fillId="0" borderId="17" xfId="33" applyNumberFormat="1" applyFont="1" applyBorder="1" applyAlignment="1">
      <alignment horizontal="right" vertical="center"/>
    </xf>
    <xf numFmtId="42" fontId="9" fillId="0" borderId="0" xfId="30" applyNumberFormat="1" applyFont="1" applyAlignment="1">
      <alignment vertical="center"/>
    </xf>
    <xf numFmtId="1" fontId="5" fillId="0" borderId="0" xfId="33" applyNumberFormat="1" applyFont="1" applyAlignment="1">
      <alignment horizontal="center" vertical="center"/>
    </xf>
    <xf numFmtId="3" fontId="9" fillId="0" borderId="0" xfId="33" applyNumberFormat="1" applyFont="1" applyAlignment="1">
      <alignment horizontal="right" vertical="center"/>
    </xf>
    <xf numFmtId="168" fontId="10" fillId="0" borderId="0" xfId="31" applyNumberFormat="1" applyFont="1" applyAlignment="1">
      <alignment vertical="center"/>
    </xf>
    <xf numFmtId="3" fontId="5" fillId="0" borderId="0" xfId="33" applyNumberFormat="1" applyFont="1" applyAlignment="1">
      <alignment horizontal="center" vertical="center"/>
    </xf>
    <xf numFmtId="10" fontId="9" fillId="0" borderId="0" xfId="33" applyNumberFormat="1" applyFont="1" applyAlignment="1">
      <alignment horizontal="right" vertical="center"/>
    </xf>
    <xf numFmtId="0" fontId="3" fillId="0" borderId="0" xfId="12" applyFont="1" applyFill="1" applyBorder="1" applyAlignment="1" applyProtection="1">
      <alignment horizontal="center" vertical="center"/>
    </xf>
    <xf numFmtId="0" fontId="2" fillId="16" borderId="0" xfId="30" applyFill="1" applyAlignment="1">
      <alignment vertical="center"/>
    </xf>
    <xf numFmtId="0" fontId="25" fillId="0" borderId="0" xfId="31" applyFont="1" applyAlignment="1">
      <alignment vertical="center"/>
    </xf>
    <xf numFmtId="0" fontId="31" fillId="0" borderId="0" xfId="33" applyFont="1"/>
    <xf numFmtId="0" fontId="10" fillId="0" borderId="16" xfId="33" applyFont="1" applyBorder="1" applyAlignment="1">
      <alignment vertical="center"/>
    </xf>
    <xf numFmtId="0" fontId="5" fillId="0" borderId="31" xfId="33" applyFont="1" applyBorder="1"/>
    <xf numFmtId="172" fontId="5" fillId="0" borderId="31" xfId="33" applyNumberFormat="1" applyFont="1" applyBorder="1" applyAlignment="1">
      <alignment horizontal="right"/>
    </xf>
    <xf numFmtId="0" fontId="29" fillId="0" borderId="0" xfId="33" applyFont="1" applyAlignment="1">
      <alignment horizontal="left"/>
    </xf>
    <xf numFmtId="168" fontId="8" fillId="0" borderId="0" xfId="31" applyNumberFormat="1" applyFont="1" applyAlignment="1">
      <alignment horizontal="center" vertical="center"/>
    </xf>
    <xf numFmtId="42" fontId="1" fillId="16" borderId="4" xfId="31" applyNumberFormat="1" applyFont="1" applyFill="1" applyBorder="1" applyAlignment="1">
      <alignment vertical="center"/>
    </xf>
    <xf numFmtId="10" fontId="5" fillId="0" borderId="0" xfId="33" applyNumberFormat="1" applyFont="1" applyAlignment="1">
      <alignment horizontal="center"/>
    </xf>
    <xf numFmtId="3" fontId="5" fillId="0" borderId="0" xfId="33" applyNumberFormat="1" applyFont="1" applyAlignment="1">
      <alignment horizontal="right" vertical="center"/>
    </xf>
    <xf numFmtId="42" fontId="9" fillId="16" borderId="0" xfId="30" applyNumberFormat="1" applyFont="1" applyFill="1" applyAlignment="1">
      <alignment vertical="center"/>
    </xf>
    <xf numFmtId="42" fontId="10" fillId="16" borderId="0" xfId="30" applyNumberFormat="1" applyFont="1" applyFill="1" applyAlignment="1">
      <alignment vertical="center"/>
    </xf>
    <xf numFmtId="179" fontId="27" fillId="0" borderId="0" xfId="22" applyNumberFormat="1" applyFont="1" applyProtection="1"/>
    <xf numFmtId="42" fontId="9" fillId="16" borderId="2" xfId="30" applyNumberFormat="1" applyFont="1" applyFill="1" applyBorder="1" applyAlignment="1">
      <alignment vertical="center"/>
    </xf>
    <xf numFmtId="9" fontId="2" fillId="17" borderId="19" xfId="31" applyNumberFormat="1" applyFill="1" applyBorder="1" applyAlignment="1" applyProtection="1">
      <alignment horizontal="right" vertical="center"/>
      <protection locked="0"/>
    </xf>
    <xf numFmtId="42" fontId="2" fillId="16" borderId="2" xfId="30" applyNumberFormat="1" applyFill="1" applyBorder="1" applyAlignment="1">
      <alignment vertical="center"/>
    </xf>
    <xf numFmtId="168" fontId="2" fillId="0" borderId="32" xfId="31" applyNumberFormat="1" applyBorder="1" applyAlignment="1">
      <alignment vertical="center"/>
    </xf>
    <xf numFmtId="1" fontId="10" fillId="16" borderId="19" xfId="33" applyNumberFormat="1" applyFont="1" applyFill="1" applyBorder="1" applyAlignment="1">
      <alignment horizontal="left" vertical="center"/>
    </xf>
    <xf numFmtId="164" fontId="10" fillId="16" borderId="19" xfId="33" applyNumberFormat="1" applyFont="1" applyFill="1" applyBorder="1" applyAlignment="1">
      <alignment horizontal="left" vertical="center"/>
    </xf>
    <xf numFmtId="0" fontId="10" fillId="16" borderId="19" xfId="33" applyFont="1" applyFill="1" applyBorder="1" applyAlignment="1">
      <alignment vertical="center"/>
    </xf>
    <xf numFmtId="42" fontId="9" fillId="0" borderId="19" xfId="33" applyNumberFormat="1" applyFont="1" applyBorder="1" applyAlignment="1">
      <alignment vertical="center"/>
    </xf>
    <xf numFmtId="167" fontId="65" fillId="0" borderId="0" xfId="30" applyNumberFormat="1" applyFont="1" applyAlignment="1">
      <alignment horizontal="right"/>
    </xf>
    <xf numFmtId="166" fontId="25" fillId="0" borderId="0" xfId="30" applyNumberFormat="1" applyFont="1" applyAlignment="1">
      <alignment horizontal="left"/>
    </xf>
    <xf numFmtId="42" fontId="1" fillId="16" borderId="4" xfId="31" applyNumberFormat="1" applyFont="1" applyFill="1" applyBorder="1" applyAlignment="1">
      <alignment horizontal="right" vertical="center"/>
    </xf>
    <xf numFmtId="42" fontId="9" fillId="16" borderId="2" xfId="30" applyNumberFormat="1" applyFont="1" applyFill="1" applyBorder="1" applyAlignment="1">
      <alignment horizontal="right" vertical="center"/>
    </xf>
    <xf numFmtId="0" fontId="68" fillId="0" borderId="0" xfId="0" applyFont="1" applyAlignment="1">
      <alignment vertical="top" wrapText="1"/>
    </xf>
    <xf numFmtId="1" fontId="69" fillId="0" borderId="0" xfId="12" applyNumberFormat="1" applyFont="1" applyAlignment="1">
      <alignment horizontal="center" vertical="center"/>
    </xf>
    <xf numFmtId="1" fontId="3" fillId="0" borderId="0" xfId="12" applyNumberFormat="1" applyFont="1" applyAlignment="1">
      <alignment horizontal="center" vertical="center"/>
    </xf>
    <xf numFmtId="10" fontId="66" fillId="0" borderId="0" xfId="22" applyNumberFormat="1" applyFont="1" applyAlignment="1">
      <alignment horizontal="right" vertical="center"/>
    </xf>
    <xf numFmtId="10" fontId="66" fillId="0" borderId="2" xfId="22" applyNumberFormat="1" applyFont="1" applyBorder="1" applyAlignment="1">
      <alignment horizontal="right" vertical="center"/>
    </xf>
    <xf numFmtId="10" fontId="66" fillId="0" borderId="0" xfId="31" applyNumberFormat="1" applyFont="1" applyAlignment="1">
      <alignment horizontal="right" vertical="center"/>
    </xf>
    <xf numFmtId="10" fontId="66" fillId="0" borderId="2" xfId="31" applyNumberFormat="1" applyFont="1" applyBorder="1" applyAlignment="1">
      <alignment horizontal="right" vertical="center"/>
    </xf>
    <xf numFmtId="1" fontId="69" fillId="0" borderId="0" xfId="12" applyNumberFormat="1" applyFont="1" applyAlignment="1">
      <alignment horizontal="right" vertical="center"/>
    </xf>
    <xf numFmtId="10" fontId="5" fillId="0" borderId="16" xfId="22" applyNumberFormat="1" applyFont="1" applyFill="1" applyBorder="1" applyAlignment="1" applyProtection="1">
      <alignment horizontal="center" vertical="center"/>
    </xf>
    <xf numFmtId="10" fontId="5" fillId="0" borderId="16" xfId="33" applyNumberFormat="1" applyFont="1" applyBorder="1" applyAlignment="1">
      <alignment horizontal="center" vertical="center"/>
    </xf>
    <xf numFmtId="10" fontId="5" fillId="0" borderId="25" xfId="22" applyNumberFormat="1" applyFont="1" applyFill="1" applyBorder="1" applyAlignment="1" applyProtection="1">
      <alignment horizontal="center" vertical="center"/>
    </xf>
    <xf numFmtId="10" fontId="5" fillId="0" borderId="0" xfId="33" applyNumberFormat="1" applyFont="1" applyAlignment="1">
      <alignment horizontal="center" vertical="center"/>
    </xf>
    <xf numFmtId="175" fontId="17" fillId="0" borderId="0" xfId="33" applyNumberFormat="1" applyFont="1" applyAlignment="1">
      <alignment horizontal="center" vertical="center"/>
    </xf>
    <xf numFmtId="3" fontId="9" fillId="17" borderId="33" xfId="33" applyNumberFormat="1" applyFont="1" applyFill="1" applyBorder="1" applyAlignment="1" applyProtection="1">
      <alignment vertical="center"/>
      <protection locked="0"/>
    </xf>
    <xf numFmtId="42" fontId="2" fillId="19" borderId="0" xfId="30" applyNumberFormat="1" applyFill="1" applyAlignment="1">
      <alignment horizontal="right"/>
    </xf>
    <xf numFmtId="10" fontId="2" fillId="0" borderId="0" xfId="31" applyNumberFormat="1" applyAlignment="1">
      <alignment horizontal="right" vertical="top"/>
    </xf>
    <xf numFmtId="168" fontId="2" fillId="0" borderId="0" xfId="31" applyNumberFormat="1" applyAlignment="1">
      <alignment horizontal="right" vertical="top"/>
    </xf>
    <xf numFmtId="168" fontId="2" fillId="0" borderId="2" xfId="31" applyNumberFormat="1" applyBorder="1" applyAlignment="1">
      <alignment horizontal="right" vertical="center"/>
    </xf>
    <xf numFmtId="10" fontId="2" fillId="17" borderId="2" xfId="31" applyNumberFormat="1" applyFill="1" applyBorder="1" applyAlignment="1" applyProtection="1">
      <alignment vertical="center"/>
      <protection locked="0"/>
    </xf>
    <xf numFmtId="0" fontId="31" fillId="0" borderId="0" xfId="33" applyFont="1" applyAlignment="1">
      <alignment vertical="top"/>
    </xf>
    <xf numFmtId="168" fontId="9" fillId="0" borderId="0" xfId="31" applyNumberFormat="1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168" fontId="2" fillId="0" borderId="6" xfId="31" applyNumberFormat="1" applyBorder="1" applyAlignment="1">
      <alignment horizontal="right" vertical="top"/>
    </xf>
    <xf numFmtId="0" fontId="25" fillId="0" borderId="0" xfId="31" applyFont="1" applyAlignment="1">
      <alignment vertical="top"/>
    </xf>
    <xf numFmtId="0" fontId="2" fillId="0" borderId="0" xfId="31" applyAlignment="1">
      <alignment horizontal="left" vertical="top"/>
    </xf>
    <xf numFmtId="10" fontId="58" fillId="0" borderId="2" xfId="22" applyNumberFormat="1" applyFont="1" applyFill="1" applyBorder="1" applyAlignment="1" applyProtection="1">
      <alignment vertical="center"/>
    </xf>
    <xf numFmtId="10" fontId="58" fillId="0" borderId="0" xfId="22" applyNumberFormat="1" applyFont="1" applyFill="1" applyAlignment="1" applyProtection="1">
      <alignment vertical="center"/>
    </xf>
    <xf numFmtId="10" fontId="66" fillId="0" borderId="0" xfId="22" applyNumberFormat="1" applyFont="1" applyFill="1" applyAlignment="1" applyProtection="1">
      <alignment vertical="center"/>
    </xf>
    <xf numFmtId="1" fontId="69" fillId="0" borderId="0" xfId="12" applyNumberFormat="1" applyFont="1" applyBorder="1" applyAlignment="1" applyProtection="1">
      <alignment horizontal="center" vertical="center"/>
    </xf>
    <xf numFmtId="179" fontId="1" fillId="16" borderId="20" xfId="22" applyNumberFormat="1" applyFont="1" applyFill="1" applyBorder="1" applyAlignment="1" applyProtection="1">
      <alignment horizontal="right" vertical="center"/>
    </xf>
    <xf numFmtId="42" fontId="10" fillId="17" borderId="19" xfId="31" applyNumberFormat="1" applyFont="1" applyFill="1" applyBorder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0" fontId="3" fillId="0" borderId="0" xfId="12" applyFont="1" applyBorder="1" applyAlignment="1" applyProtection="1">
      <alignment vertical="center"/>
    </xf>
    <xf numFmtId="42" fontId="10" fillId="17" borderId="20" xfId="31" applyNumberFormat="1" applyFont="1" applyFill="1" applyBorder="1" applyAlignment="1">
      <alignment vertical="center"/>
    </xf>
    <xf numFmtId="10" fontId="5" fillId="17" borderId="20" xfId="33" applyNumberFormat="1" applyFont="1" applyFill="1" applyBorder="1" applyAlignment="1">
      <alignment horizontal="right"/>
    </xf>
    <xf numFmtId="168" fontId="10" fillId="17" borderId="19" xfId="31" applyNumberFormat="1" applyFont="1" applyFill="1" applyBorder="1" applyAlignment="1">
      <alignment vertical="center"/>
    </xf>
    <xf numFmtId="168" fontId="10" fillId="17" borderId="0" xfId="31" applyNumberFormat="1" applyFont="1" applyFill="1" applyAlignment="1">
      <alignment vertical="center"/>
    </xf>
    <xf numFmtId="10" fontId="5" fillId="17" borderId="0" xfId="33" applyNumberFormat="1" applyFont="1" applyFill="1" applyAlignment="1">
      <alignment horizontal="right"/>
    </xf>
    <xf numFmtId="1" fontId="10" fillId="16" borderId="0" xfId="33" applyNumberFormat="1" applyFont="1" applyFill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179" fontId="25" fillId="0" borderId="0" xfId="30" applyNumberFormat="1" applyFont="1"/>
    <xf numFmtId="3" fontId="9" fillId="17" borderId="20" xfId="33" applyNumberFormat="1" applyFont="1" applyFill="1" applyBorder="1" applyAlignment="1" applyProtection="1">
      <alignment vertical="center"/>
      <protection locked="0"/>
    </xf>
    <xf numFmtId="3" fontId="9" fillId="17" borderId="19" xfId="33" applyNumberFormat="1" applyFont="1" applyFill="1" applyBorder="1" applyAlignment="1" applyProtection="1">
      <alignment vertical="center"/>
      <protection locked="0"/>
    </xf>
    <xf numFmtId="3" fontId="9" fillId="16" borderId="19" xfId="33" applyNumberFormat="1" applyFont="1" applyFill="1" applyBorder="1" applyAlignment="1">
      <alignment vertical="center"/>
    </xf>
    <xf numFmtId="3" fontId="9" fillId="0" borderId="19" xfId="33" applyNumberFormat="1" applyFont="1" applyBorder="1" applyAlignment="1">
      <alignment vertical="center"/>
    </xf>
    <xf numFmtId="42" fontId="1" fillId="16" borderId="0" xfId="33" applyNumberFormat="1" applyFont="1" applyFill="1" applyAlignment="1">
      <alignment horizontal="right" vertical="center"/>
    </xf>
    <xf numFmtId="10" fontId="5" fillId="0" borderId="0" xfId="22" applyNumberFormat="1" applyFont="1" applyFill="1" applyBorder="1" applyAlignment="1" applyProtection="1">
      <alignment horizontal="center" vertical="center"/>
    </xf>
    <xf numFmtId="1" fontId="5" fillId="0" borderId="16" xfId="33" applyNumberFormat="1" applyFont="1" applyBorder="1"/>
    <xf numFmtId="1" fontId="5" fillId="0" borderId="30" xfId="33" applyNumberFormat="1" applyFont="1" applyBorder="1"/>
    <xf numFmtId="3" fontId="9" fillId="0" borderId="0" xfId="33" applyNumberFormat="1" applyFont="1" applyAlignment="1">
      <alignment vertical="center"/>
    </xf>
    <xf numFmtId="1" fontId="3" fillId="17" borderId="0" xfId="12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vertical="top"/>
    </xf>
    <xf numFmtId="3" fontId="9" fillId="10" borderId="19" xfId="33" applyNumberFormat="1" applyFont="1" applyFill="1" applyBorder="1" applyAlignment="1">
      <alignment vertical="center"/>
    </xf>
    <xf numFmtId="3" fontId="9" fillId="10" borderId="21" xfId="33" applyNumberFormat="1" applyFont="1" applyFill="1" applyBorder="1" applyAlignment="1">
      <alignment vertical="center"/>
    </xf>
    <xf numFmtId="3" fontId="9" fillId="10" borderId="22" xfId="33" applyNumberFormat="1" applyFont="1" applyFill="1" applyBorder="1" applyAlignment="1">
      <alignment vertical="center"/>
    </xf>
    <xf numFmtId="3" fontId="9" fillId="16" borderId="16" xfId="33" applyNumberFormat="1" applyFont="1" applyFill="1" applyBorder="1" applyAlignment="1">
      <alignment vertical="center"/>
    </xf>
    <xf numFmtId="9" fontId="5" fillId="17" borderId="20" xfId="33" applyNumberFormat="1" applyFont="1" applyFill="1" applyBorder="1" applyAlignment="1" applyProtection="1">
      <alignment horizontal="right" vertical="center"/>
      <protection locked="0"/>
    </xf>
    <xf numFmtId="9" fontId="5" fillId="0" borderId="19" xfId="33" applyNumberFormat="1" applyFont="1" applyBorder="1" applyAlignment="1">
      <alignment horizontal="right" vertical="center"/>
    </xf>
    <xf numFmtId="9" fontId="5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16" borderId="0" xfId="33" applyNumberFormat="1" applyFont="1" applyFill="1" applyAlignment="1">
      <alignment vertical="center"/>
    </xf>
    <xf numFmtId="3" fontId="9" fillId="16" borderId="20" xfId="33" applyNumberFormat="1" applyFont="1" applyFill="1" applyBorder="1" applyAlignment="1">
      <alignment vertical="center"/>
    </xf>
    <xf numFmtId="3" fontId="9" fillId="16" borderId="24" xfId="33" applyNumberFormat="1" applyFont="1" applyFill="1" applyBorder="1" applyAlignment="1">
      <alignment vertical="center"/>
    </xf>
    <xf numFmtId="9" fontId="6" fillId="0" borderId="19" xfId="33" applyNumberFormat="1" applyFont="1" applyBorder="1" applyAlignment="1">
      <alignment horizontal="right" vertical="center"/>
    </xf>
    <xf numFmtId="3" fontId="9" fillId="0" borderId="20" xfId="33" applyNumberFormat="1" applyFont="1" applyBorder="1" applyAlignment="1">
      <alignment vertical="center"/>
    </xf>
    <xf numFmtId="9" fontId="9" fillId="17" borderId="20" xfId="33" applyNumberFormat="1" applyFont="1" applyFill="1" applyBorder="1" applyAlignment="1" applyProtection="1">
      <alignment horizontal="right" vertical="center"/>
      <protection locked="0"/>
    </xf>
    <xf numFmtId="180" fontId="9" fillId="16" borderId="34" xfId="42" applyNumberFormat="1" applyFont="1" applyFill="1" applyBorder="1" applyAlignment="1">
      <alignment vertical="center"/>
    </xf>
    <xf numFmtId="9" fontId="9" fillId="0" borderId="19" xfId="33" applyNumberFormat="1" applyFont="1" applyBorder="1" applyAlignment="1">
      <alignment horizontal="right" vertical="center"/>
    </xf>
    <xf numFmtId="180" fontId="9" fillId="0" borderId="19" xfId="42" applyNumberFormat="1" applyFont="1" applyBorder="1" applyAlignment="1">
      <alignment horizontal="right" vertical="center"/>
    </xf>
    <xf numFmtId="9" fontId="9" fillId="17" borderId="35" xfId="33" applyNumberFormat="1" applyFont="1" applyFill="1" applyBorder="1" applyAlignment="1" applyProtection="1">
      <alignment horizontal="right" vertical="center"/>
      <protection locked="0"/>
    </xf>
    <xf numFmtId="3" fontId="9" fillId="16" borderId="19" xfId="42" applyNumberFormat="1" applyFont="1" applyFill="1" applyBorder="1" applyAlignment="1">
      <alignment vertical="center"/>
    </xf>
    <xf numFmtId="180" fontId="9" fillId="0" borderId="19" xfId="42" applyNumberFormat="1" applyFont="1" applyBorder="1" applyAlignment="1">
      <alignment vertical="center"/>
    </xf>
    <xf numFmtId="0" fontId="17" fillId="0" borderId="16" xfId="33" applyFont="1" applyBorder="1"/>
    <xf numFmtId="164" fontId="17" fillId="0" borderId="17" xfId="33" applyNumberFormat="1" applyFont="1" applyBorder="1" applyAlignment="1">
      <alignment horizontal="left"/>
    </xf>
    <xf numFmtId="0" fontId="17" fillId="0" borderId="17" xfId="33" applyFont="1" applyBorder="1"/>
    <xf numFmtId="0" fontId="17" fillId="0" borderId="30" xfId="33" applyFont="1" applyBorder="1"/>
    <xf numFmtId="164" fontId="17" fillId="0" borderId="18" xfId="33" applyNumberFormat="1" applyFont="1" applyBorder="1" applyAlignment="1">
      <alignment horizontal="left"/>
    </xf>
    <xf numFmtId="0" fontId="17" fillId="0" borderId="18" xfId="33" applyFont="1" applyBorder="1"/>
    <xf numFmtId="3" fontId="9" fillId="0" borderId="19" xfId="42" applyNumberFormat="1" applyFont="1" applyBorder="1" applyAlignment="1">
      <alignment vertical="center"/>
    </xf>
    <xf numFmtId="9" fontId="10" fillId="0" borderId="19" xfId="33" applyNumberFormat="1" applyFont="1" applyBorder="1" applyAlignment="1">
      <alignment horizontal="right" vertical="center"/>
    </xf>
    <xf numFmtId="165" fontId="17" fillId="0" borderId="17" xfId="33" applyNumberFormat="1" applyFont="1" applyBorder="1" applyAlignment="1">
      <alignment horizontal="left"/>
    </xf>
    <xf numFmtId="0" fontId="17" fillId="0" borderId="18" xfId="33" applyFont="1" applyBorder="1" applyAlignment="1">
      <alignment horizontal="left"/>
    </xf>
    <xf numFmtId="0" fontId="17" fillId="0" borderId="31" xfId="33" applyFont="1" applyBorder="1"/>
    <xf numFmtId="9" fontId="9" fillId="17" borderId="19" xfId="33" applyNumberFormat="1" applyFont="1" applyFill="1" applyBorder="1" applyAlignment="1" applyProtection="1">
      <alignment horizontal="right" vertical="center"/>
      <protection locked="0"/>
    </xf>
    <xf numFmtId="3" fontId="9" fillId="0" borderId="0" xfId="42" applyNumberFormat="1" applyFont="1" applyAlignment="1">
      <alignment vertical="center"/>
    </xf>
    <xf numFmtId="42" fontId="59" fillId="18" borderId="0" xfId="33" applyNumberFormat="1" applyFont="1" applyFill="1" applyAlignment="1">
      <alignment horizontal="right" vertical="center"/>
    </xf>
    <xf numFmtId="1" fontId="3" fillId="17" borderId="36" xfId="12" applyNumberFormat="1" applyFont="1" applyFill="1" applyBorder="1" applyAlignment="1" applyProtection="1">
      <alignment horizontal="center" vertical="center"/>
      <protection locked="0"/>
    </xf>
    <xf numFmtId="166" fontId="1" fillId="0" borderId="6" xfId="31" applyNumberFormat="1" applyFont="1" applyBorder="1" applyAlignment="1">
      <alignment horizontal="right" vertical="center"/>
    </xf>
    <xf numFmtId="42" fontId="10" fillId="0" borderId="0" xfId="30" applyNumberFormat="1" applyFont="1" applyAlignment="1">
      <alignment vertical="center"/>
    </xf>
    <xf numFmtId="177" fontId="9" fillId="17" borderId="27" xfId="33" applyNumberFormat="1" applyFont="1" applyFill="1" applyBorder="1" applyAlignment="1" applyProtection="1">
      <alignment vertical="center"/>
      <protection locked="0"/>
    </xf>
    <xf numFmtId="0" fontId="10" fillId="0" borderId="0" xfId="33" applyFont="1" applyAlignment="1">
      <alignment horizontal="left" vertical="center"/>
    </xf>
    <xf numFmtId="0" fontId="5" fillId="0" borderId="0" xfId="33" applyFont="1" applyAlignment="1">
      <alignment horizontal="left" vertical="center"/>
    </xf>
    <xf numFmtId="0" fontId="6" fillId="0" borderId="0" xfId="33" applyFont="1" applyAlignment="1">
      <alignment horizontal="left" vertical="center"/>
    </xf>
    <xf numFmtId="3" fontId="5" fillId="0" borderId="0" xfId="33" applyNumberFormat="1" applyFont="1" applyAlignment="1">
      <alignment horizontal="left" vertical="center" wrapText="1"/>
    </xf>
    <xf numFmtId="0" fontId="5" fillId="0" borderId="30" xfId="33" applyFont="1" applyBorder="1" applyAlignment="1">
      <alignment vertical="center"/>
    </xf>
    <xf numFmtId="9" fontId="5" fillId="17" borderId="27" xfId="33" applyNumberFormat="1" applyFont="1" applyFill="1" applyBorder="1" applyAlignment="1" applyProtection="1">
      <alignment horizontal="right" vertical="center"/>
      <protection locked="0"/>
    </xf>
    <xf numFmtId="180" fontId="9" fillId="16" borderId="0" xfId="42" applyNumberFormat="1" applyFont="1" applyFill="1" applyAlignment="1">
      <alignment vertical="center"/>
    </xf>
    <xf numFmtId="1" fontId="5" fillId="0" borderId="0" xfId="33" applyNumberFormat="1" applyFont="1" applyAlignment="1">
      <alignment horizontal="left" vertical="center"/>
    </xf>
    <xf numFmtId="180" fontId="9" fillId="0" borderId="0" xfId="42" applyNumberFormat="1" applyFont="1" applyAlignment="1">
      <alignment horizontal="right" vertical="center"/>
    </xf>
    <xf numFmtId="180" fontId="9" fillId="0" borderId="0" xfId="42" applyNumberFormat="1" applyFont="1" applyAlignment="1">
      <alignment vertical="center"/>
    </xf>
    <xf numFmtId="1" fontId="3" fillId="0" borderId="16" xfId="33" applyNumberFormat="1" applyFont="1" applyBorder="1" applyAlignment="1">
      <alignment vertical="center"/>
    </xf>
    <xf numFmtId="164" fontId="5" fillId="0" borderId="17" xfId="33" applyNumberFormat="1" applyFont="1" applyBorder="1" applyAlignment="1">
      <alignment horizontal="left" vertical="center"/>
    </xf>
    <xf numFmtId="0" fontId="5" fillId="0" borderId="17" xfId="33" applyFont="1" applyBorder="1" applyAlignment="1">
      <alignment vertical="center"/>
    </xf>
    <xf numFmtId="164" fontId="5" fillId="0" borderId="18" xfId="33" applyNumberFormat="1" applyFont="1" applyBorder="1" applyAlignment="1">
      <alignment horizontal="left" vertical="center"/>
    </xf>
    <xf numFmtId="0" fontId="5" fillId="0" borderId="18" xfId="33" applyFont="1" applyBorder="1" applyAlignment="1">
      <alignment vertical="center"/>
    </xf>
    <xf numFmtId="172" fontId="5" fillId="0" borderId="18" xfId="33" applyNumberFormat="1" applyFont="1" applyBorder="1" applyAlignment="1">
      <alignment horizontal="right" vertical="center"/>
    </xf>
    <xf numFmtId="0" fontId="5" fillId="0" borderId="37" xfId="33" applyFont="1" applyBorder="1" applyAlignment="1">
      <alignment vertical="center"/>
    </xf>
    <xf numFmtId="172" fontId="5" fillId="0" borderId="37" xfId="33" applyNumberFormat="1" applyFont="1" applyBorder="1" applyAlignment="1">
      <alignment horizontal="right" vertical="center"/>
    </xf>
    <xf numFmtId="9" fontId="6" fillId="0" borderId="0" xfId="33" applyNumberFormat="1" applyFont="1" applyAlignment="1">
      <alignment horizontal="right" vertical="center"/>
    </xf>
    <xf numFmtId="0" fontId="14" fillId="0" borderId="30" xfId="33" applyFont="1" applyBorder="1" applyAlignment="1">
      <alignment vertical="center"/>
    </xf>
    <xf numFmtId="9" fontId="5" fillId="17" borderId="0" xfId="33" applyNumberFormat="1" applyFont="1" applyFill="1" applyAlignment="1" applyProtection="1">
      <alignment horizontal="right" vertical="center"/>
      <protection locked="0"/>
    </xf>
    <xf numFmtId="180" fontId="9" fillId="16" borderId="23" xfId="42" applyNumberFormat="1" applyFont="1" applyFill="1" applyBorder="1" applyAlignment="1">
      <alignment vertical="center"/>
    </xf>
    <xf numFmtId="180" fontId="9" fillId="16" borderId="20" xfId="42" applyNumberFormat="1" applyFont="1" applyFill="1" applyBorder="1" applyAlignment="1">
      <alignment vertical="center"/>
    </xf>
    <xf numFmtId="165" fontId="5" fillId="0" borderId="17" xfId="33" applyNumberFormat="1" applyFont="1" applyBorder="1" applyAlignment="1">
      <alignment horizontal="left" vertical="center"/>
    </xf>
    <xf numFmtId="0" fontId="5" fillId="0" borderId="38" xfId="33" applyFont="1" applyBorder="1" applyAlignment="1">
      <alignment vertical="center"/>
    </xf>
    <xf numFmtId="0" fontId="5" fillId="0" borderId="18" xfId="33" applyFont="1" applyBorder="1" applyAlignment="1">
      <alignment horizontal="left" vertical="center"/>
    </xf>
    <xf numFmtId="9" fontId="5" fillId="17" borderId="35" xfId="33" applyNumberFormat="1" applyFont="1" applyFill="1" applyBorder="1" applyAlignment="1" applyProtection="1">
      <alignment horizontal="right" vertical="center"/>
      <protection locked="0"/>
    </xf>
    <xf numFmtId="180" fontId="9" fillId="16" borderId="19" xfId="42" applyNumberFormat="1" applyFont="1" applyFill="1" applyBorder="1" applyAlignment="1">
      <alignment vertical="center"/>
    </xf>
    <xf numFmtId="180" fontId="9" fillId="16" borderId="33" xfId="42" applyNumberFormat="1" applyFont="1" applyFill="1" applyBorder="1" applyAlignment="1">
      <alignment vertical="center"/>
    </xf>
    <xf numFmtId="164" fontId="5" fillId="0" borderId="0" xfId="33" applyNumberFormat="1" applyFont="1" applyAlignment="1">
      <alignment horizontal="left" vertical="center"/>
    </xf>
    <xf numFmtId="10" fontId="5" fillId="0" borderId="0" xfId="33" applyNumberFormat="1" applyFont="1" applyAlignment="1">
      <alignment vertical="center"/>
    </xf>
    <xf numFmtId="9" fontId="2" fillId="16" borderId="0" xfId="33" applyNumberFormat="1" applyFont="1" applyFill="1" applyAlignment="1">
      <alignment vertical="center"/>
    </xf>
    <xf numFmtId="180" fontId="1" fillId="16" borderId="0" xfId="42" applyNumberFormat="1" applyFont="1" applyFill="1" applyBorder="1" applyAlignment="1">
      <alignment horizontal="right" vertical="center"/>
    </xf>
    <xf numFmtId="0" fontId="5" fillId="16" borderId="0" xfId="33" applyFont="1" applyFill="1" applyAlignment="1">
      <alignment vertical="center"/>
    </xf>
    <xf numFmtId="9" fontId="5" fillId="16" borderId="0" xfId="33" applyNumberFormat="1" applyFont="1" applyFill="1" applyAlignment="1">
      <alignment horizontal="center" vertical="center"/>
    </xf>
    <xf numFmtId="0" fontId="29" fillId="0" borderId="0" xfId="33" applyFont="1" applyAlignment="1">
      <alignment horizontal="left" vertical="center"/>
    </xf>
    <xf numFmtId="1" fontId="10" fillId="16" borderId="20" xfId="33" applyNumberFormat="1" applyFont="1" applyFill="1" applyBorder="1" applyAlignment="1">
      <alignment vertical="center"/>
    </xf>
    <xf numFmtId="180" fontId="5" fillId="0" borderId="0" xfId="42" applyNumberFormat="1" applyFont="1" applyAlignment="1">
      <alignment vertical="center"/>
    </xf>
    <xf numFmtId="180" fontId="59" fillId="18" borderId="23" xfId="42" applyNumberFormat="1" applyFont="1" applyFill="1" applyBorder="1" applyAlignment="1">
      <alignment horizontal="right" vertical="center"/>
    </xf>
    <xf numFmtId="0" fontId="6" fillId="0" borderId="2" xfId="33" applyFont="1" applyBorder="1" applyAlignment="1">
      <alignment horizontal="left" vertical="center"/>
    </xf>
    <xf numFmtId="0" fontId="5" fillId="0" borderId="2" xfId="33" applyFont="1" applyBorder="1" applyAlignment="1">
      <alignment vertical="center"/>
    </xf>
    <xf numFmtId="1" fontId="3" fillId="17" borderId="20" xfId="12" applyNumberFormat="1" applyFont="1" applyFill="1" applyBorder="1" applyAlignment="1" applyProtection="1">
      <alignment horizontal="center" vertical="center"/>
    </xf>
    <xf numFmtId="0" fontId="5" fillId="17" borderId="20" xfId="33" applyFont="1" applyFill="1" applyBorder="1" applyAlignment="1">
      <alignment vertical="center"/>
    </xf>
    <xf numFmtId="0" fontId="6" fillId="0" borderId="3" xfId="33" applyFont="1" applyBorder="1" applyAlignment="1">
      <alignment horizontal="left" vertical="center"/>
    </xf>
    <xf numFmtId="0" fontId="5" fillId="0" borderId="3" xfId="33" applyFont="1" applyBorder="1" applyAlignment="1">
      <alignment vertical="center"/>
    </xf>
    <xf numFmtId="1" fontId="3" fillId="17" borderId="19" xfId="12" applyNumberFormat="1" applyFont="1" applyFill="1" applyBorder="1" applyAlignment="1" applyProtection="1">
      <alignment horizontal="center" vertical="center"/>
    </xf>
    <xf numFmtId="0" fontId="5" fillId="17" borderId="19" xfId="33" applyFont="1" applyFill="1" applyBorder="1" applyAlignment="1">
      <alignment vertical="center"/>
    </xf>
    <xf numFmtId="0" fontId="5" fillId="0" borderId="3" xfId="33" applyFont="1" applyBorder="1" applyAlignment="1">
      <alignment horizontal="left" vertical="center"/>
    </xf>
    <xf numFmtId="1" fontId="5" fillId="17" borderId="20" xfId="12" applyNumberFormat="1" applyFont="1" applyFill="1" applyBorder="1" applyAlignment="1" applyProtection="1">
      <alignment horizontal="center" vertical="center"/>
    </xf>
    <xf numFmtId="1" fontId="5" fillId="17" borderId="19" xfId="12" applyNumberFormat="1" applyFont="1" applyFill="1" applyBorder="1" applyAlignment="1" applyProtection="1">
      <alignment horizontal="center" vertical="center"/>
    </xf>
    <xf numFmtId="42" fontId="11" fillId="0" borderId="0" xfId="31" applyNumberFormat="1" applyFont="1" applyAlignment="1">
      <alignment horizontal="right" vertical="center"/>
    </xf>
    <xf numFmtId="179" fontId="59" fillId="19" borderId="0" xfId="22" applyNumberFormat="1" applyFont="1" applyFill="1" applyAlignment="1" applyProtection="1">
      <alignment horizontal="right" vertical="center"/>
    </xf>
    <xf numFmtId="10" fontId="59" fillId="0" borderId="0" xfId="22" applyNumberFormat="1" applyFont="1" applyFill="1" applyAlignment="1" applyProtection="1">
      <alignment horizontal="right" vertical="center"/>
    </xf>
    <xf numFmtId="10" fontId="1" fillId="0" borderId="0" xfId="22" applyNumberFormat="1" applyFont="1" applyFill="1" applyBorder="1" applyAlignment="1" applyProtection="1">
      <alignment horizontal="right" vertical="center"/>
    </xf>
    <xf numFmtId="179" fontId="59" fillId="16" borderId="0" xfId="22" applyNumberFormat="1" applyFont="1" applyFill="1" applyAlignment="1" applyProtection="1">
      <alignment horizontal="right" vertical="center"/>
    </xf>
    <xf numFmtId="10" fontId="65" fillId="0" borderId="0" xfId="33" applyNumberFormat="1" applyFont="1" applyAlignment="1">
      <alignment vertical="center"/>
    </xf>
    <xf numFmtId="0" fontId="65" fillId="0" borderId="0" xfId="33" applyFont="1" applyAlignment="1">
      <alignment vertical="center"/>
    </xf>
    <xf numFmtId="10" fontId="27" fillId="0" borderId="0" xfId="12" applyNumberFormat="1" applyFont="1" applyFill="1" applyBorder="1" applyAlignment="1" applyProtection="1">
      <alignment horizontal="right" vertical="center"/>
    </xf>
    <xf numFmtId="166" fontId="1" fillId="0" borderId="0" xfId="22" applyNumberFormat="1" applyFont="1" applyFill="1" applyBorder="1" applyAlignment="1" applyProtection="1">
      <alignment horizontal="right" vertical="center"/>
    </xf>
    <xf numFmtId="0" fontId="2" fillId="0" borderId="0" xfId="31" applyAlignment="1">
      <alignment vertical="top"/>
    </xf>
    <xf numFmtId="0" fontId="2" fillId="0" borderId="0" xfId="30" applyAlignment="1">
      <alignment vertical="top"/>
    </xf>
    <xf numFmtId="10" fontId="69" fillId="0" borderId="0" xfId="33" applyNumberFormat="1" applyFont="1" applyAlignment="1">
      <alignment vertical="top"/>
    </xf>
    <xf numFmtId="168" fontId="9" fillId="0" borderId="6" xfId="31" applyNumberFormat="1" applyFont="1" applyBorder="1" applyAlignment="1">
      <alignment vertical="top"/>
    </xf>
    <xf numFmtId="42" fontId="2" fillId="0" borderId="0" xfId="30" applyNumberFormat="1" applyAlignment="1">
      <alignment vertical="center"/>
    </xf>
    <xf numFmtId="9" fontId="5" fillId="0" borderId="0" xfId="33" applyNumberFormat="1" applyFont="1" applyAlignment="1">
      <alignment vertical="center"/>
    </xf>
    <xf numFmtId="0" fontId="1" fillId="16" borderId="0" xfId="30" applyFont="1" applyFill="1" applyAlignment="1">
      <alignment vertical="center"/>
    </xf>
    <xf numFmtId="0" fontId="1" fillId="16" borderId="0" xfId="30" applyFont="1" applyFill="1" applyAlignment="1">
      <alignment horizontal="right" vertical="center"/>
    </xf>
    <xf numFmtId="166" fontId="1" fillId="16" borderId="0" xfId="30" applyNumberFormat="1" applyFont="1" applyFill="1" applyAlignment="1">
      <alignment vertical="center"/>
    </xf>
    <xf numFmtId="168" fontId="19" fillId="16" borderId="0" xfId="30" applyNumberFormat="1" applyFont="1" applyFill="1" applyAlignment="1">
      <alignment vertical="center"/>
    </xf>
    <xf numFmtId="9" fontId="2" fillId="16" borderId="0" xfId="30" applyNumberFormat="1" applyFill="1" applyAlignment="1">
      <alignment vertical="center"/>
    </xf>
    <xf numFmtId="42" fontId="1" fillId="16" borderId="0" xfId="30" applyNumberFormat="1" applyFont="1" applyFill="1" applyAlignment="1">
      <alignment vertical="center"/>
    </xf>
    <xf numFmtId="0" fontId="11" fillId="0" borderId="0" xfId="30" applyFont="1" applyAlignment="1">
      <alignment horizontal="right" vertical="center"/>
    </xf>
    <xf numFmtId="0" fontId="2" fillId="0" borderId="0" xfId="30" applyAlignment="1">
      <alignment horizontal="right" vertical="center"/>
    </xf>
    <xf numFmtId="166" fontId="2" fillId="0" borderId="0" xfId="30" applyNumberFormat="1" applyAlignment="1">
      <alignment vertical="center"/>
    </xf>
    <xf numFmtId="168" fontId="2" fillId="0" borderId="0" xfId="30" applyNumberFormat="1" applyAlignment="1">
      <alignment vertical="center"/>
    </xf>
    <xf numFmtId="168" fontId="7" fillId="0" borderId="0" xfId="30" applyNumberFormat="1" applyFont="1" applyAlignment="1">
      <alignment vertical="center"/>
    </xf>
    <xf numFmtId="9" fontId="2" fillId="0" borderId="0" xfId="30" applyNumberFormat="1" applyAlignment="1">
      <alignment horizontal="center" vertical="center"/>
    </xf>
    <xf numFmtId="166" fontId="2" fillId="0" borderId="0" xfId="30" applyNumberFormat="1" applyAlignment="1">
      <alignment horizontal="left" vertical="center"/>
    </xf>
    <xf numFmtId="10" fontId="2" fillId="17" borderId="0" xfId="30" applyNumberFormat="1" applyFill="1" applyAlignment="1" applyProtection="1">
      <alignment horizontal="right" vertical="center"/>
      <protection locked="0"/>
    </xf>
    <xf numFmtId="10" fontId="2" fillId="0" borderId="0" xfId="30" applyNumberFormat="1" applyAlignment="1">
      <alignment horizontal="right" vertical="center"/>
    </xf>
    <xf numFmtId="0" fontId="2" fillId="0" borderId="4" xfId="30" applyBorder="1" applyAlignment="1">
      <alignment vertical="center"/>
    </xf>
    <xf numFmtId="0" fontId="2" fillId="0" borderId="4" xfId="30" applyBorder="1" applyAlignment="1">
      <alignment horizontal="right" vertical="center"/>
    </xf>
    <xf numFmtId="166" fontId="2" fillId="0" borderId="4" xfId="30" applyNumberFormat="1" applyBorder="1" applyAlignment="1">
      <alignment vertical="center"/>
    </xf>
    <xf numFmtId="167" fontId="7" fillId="0" borderId="4" xfId="30" applyNumberFormat="1" applyFont="1" applyBorder="1" applyAlignment="1">
      <alignment vertical="center"/>
    </xf>
    <xf numFmtId="10" fontId="2" fillId="0" borderId="4" xfId="30" applyNumberFormat="1" applyBorder="1" applyAlignment="1">
      <alignment horizontal="center" vertical="center"/>
    </xf>
    <xf numFmtId="42" fontId="2" fillId="0" borderId="4" xfId="30" applyNumberFormat="1" applyBorder="1" applyAlignment="1">
      <alignment vertical="center"/>
    </xf>
    <xf numFmtId="10" fontId="2" fillId="0" borderId="0" xfId="30" applyNumberFormat="1" applyAlignment="1">
      <alignment horizontal="center" vertical="center"/>
    </xf>
    <xf numFmtId="167" fontId="7" fillId="0" borderId="0" xfId="30" applyNumberFormat="1" applyFont="1" applyAlignment="1">
      <alignment vertical="center"/>
    </xf>
    <xf numFmtId="0" fontId="1" fillId="0" borderId="0" xfId="30" applyFont="1" applyAlignment="1">
      <alignment vertical="center"/>
    </xf>
    <xf numFmtId="0" fontId="1" fillId="0" borderId="0" xfId="30" applyFont="1" applyAlignment="1">
      <alignment horizontal="right" vertical="center"/>
    </xf>
    <xf numFmtId="166" fontId="1" fillId="0" borderId="0" xfId="30" applyNumberFormat="1" applyFont="1" applyAlignment="1">
      <alignment vertical="center"/>
    </xf>
    <xf numFmtId="42" fontId="1" fillId="0" borderId="0" xfId="30" applyNumberFormat="1" applyFont="1" applyAlignment="1">
      <alignment vertical="center"/>
    </xf>
    <xf numFmtId="0" fontId="59" fillId="18" borderId="0" xfId="30" applyFont="1" applyFill="1" applyAlignment="1">
      <alignment vertical="center"/>
    </xf>
    <xf numFmtId="0" fontId="59" fillId="18" borderId="0" xfId="30" applyFont="1" applyFill="1" applyAlignment="1">
      <alignment horizontal="right" vertical="center"/>
    </xf>
    <xf numFmtId="166" fontId="59" fillId="18" borderId="0" xfId="30" applyNumberFormat="1" applyFont="1" applyFill="1" applyAlignment="1">
      <alignment vertical="center"/>
    </xf>
    <xf numFmtId="9" fontId="53" fillId="18" borderId="0" xfId="30" applyNumberFormat="1" applyFont="1" applyFill="1" applyAlignment="1">
      <alignment horizontal="center" vertical="center"/>
    </xf>
    <xf numFmtId="167" fontId="60" fillId="18" borderId="0" xfId="30" applyNumberFormat="1" applyFont="1" applyFill="1" applyAlignment="1">
      <alignment vertical="center"/>
    </xf>
    <xf numFmtId="42" fontId="59" fillId="18" borderId="0" xfId="30" applyNumberFormat="1" applyFont="1" applyFill="1" applyAlignment="1">
      <alignment vertical="center"/>
    </xf>
    <xf numFmtId="9" fontId="53" fillId="0" borderId="0" xfId="30" applyNumberFormat="1" applyFont="1" applyAlignment="1">
      <alignment horizontal="center" vertical="center"/>
    </xf>
    <xf numFmtId="0" fontId="31" fillId="0" borderId="0" xfId="33" applyFont="1" applyAlignment="1">
      <alignment vertical="center"/>
    </xf>
    <xf numFmtId="0" fontId="77" fillId="0" borderId="0" xfId="33" applyFont="1" applyAlignment="1">
      <alignment horizontal="left" vertical="center"/>
    </xf>
    <xf numFmtId="179" fontId="31" fillId="0" borderId="0" xfId="22" applyNumberFormat="1" applyFont="1" applyAlignment="1" applyProtection="1">
      <alignment vertical="center"/>
    </xf>
    <xf numFmtId="10" fontId="31" fillId="0" borderId="0" xfId="22" applyNumberFormat="1" applyFont="1" applyAlignment="1" applyProtection="1">
      <alignment vertical="center"/>
    </xf>
    <xf numFmtId="0" fontId="78" fillId="0" borderId="0" xfId="0" applyFont="1" applyAlignment="1">
      <alignment vertical="center"/>
    </xf>
    <xf numFmtId="10" fontId="5" fillId="20" borderId="40" xfId="33" applyNumberFormat="1" applyFont="1" applyFill="1" applyBorder="1" applyAlignment="1">
      <alignment horizontal="right"/>
    </xf>
    <xf numFmtId="168" fontId="10" fillId="20" borderId="40" xfId="31" applyNumberFormat="1" applyFont="1" applyFill="1" applyBorder="1" applyAlignment="1">
      <alignment vertical="center"/>
    </xf>
    <xf numFmtId="10" fontId="5" fillId="20" borderId="41" xfId="33" applyNumberFormat="1" applyFont="1" applyFill="1" applyBorder="1" applyAlignment="1">
      <alignment horizontal="right"/>
    </xf>
    <xf numFmtId="168" fontId="10" fillId="20" borderId="41" xfId="31" applyNumberFormat="1" applyFont="1" applyFill="1" applyBorder="1" applyAlignment="1">
      <alignment vertical="center"/>
    </xf>
    <xf numFmtId="10" fontId="5" fillId="20" borderId="42" xfId="33" applyNumberFormat="1" applyFont="1" applyFill="1" applyBorder="1" applyAlignment="1">
      <alignment horizontal="right"/>
    </xf>
    <xf numFmtId="168" fontId="10" fillId="20" borderId="42" xfId="31" applyNumberFormat="1" applyFont="1" applyFill="1" applyBorder="1" applyAlignment="1">
      <alignment vertical="center"/>
    </xf>
    <xf numFmtId="49" fontId="2" fillId="0" borderId="0" xfId="30" applyNumberFormat="1"/>
    <xf numFmtId="4" fontId="2" fillId="16" borderId="0" xfId="30" applyNumberFormat="1" applyFill="1"/>
    <xf numFmtId="42" fontId="10" fillId="16" borderId="2" xfId="30" applyNumberFormat="1" applyFont="1" applyFill="1" applyBorder="1" applyAlignment="1">
      <alignment vertical="center"/>
    </xf>
    <xf numFmtId="10" fontId="2" fillId="17" borderId="33" xfId="31" applyNumberFormat="1" applyFill="1" applyBorder="1" applyAlignment="1" applyProtection="1">
      <alignment horizontal="right" vertical="center"/>
      <protection locked="0"/>
    </xf>
    <xf numFmtId="10" fontId="5" fillId="0" borderId="0" xfId="33" applyNumberFormat="1" applyFont="1" applyAlignment="1">
      <alignment horizontal="right" vertical="top"/>
    </xf>
    <xf numFmtId="10" fontId="2" fillId="17" borderId="0" xfId="31" applyNumberFormat="1" applyFill="1" applyAlignment="1" applyProtection="1">
      <alignment horizontal="right" vertical="center"/>
      <protection locked="0"/>
    </xf>
    <xf numFmtId="10" fontId="2" fillId="0" borderId="6" xfId="31" applyNumberFormat="1" applyBorder="1" applyAlignment="1">
      <alignment horizontal="right"/>
    </xf>
    <xf numFmtId="168" fontId="9" fillId="0" borderId="0" xfId="31" applyNumberFormat="1" applyFont="1"/>
    <xf numFmtId="42" fontId="2" fillId="19" borderId="0" xfId="30" applyNumberFormat="1" applyFill="1"/>
    <xf numFmtId="3" fontId="10" fillId="0" borderId="16" xfId="33" applyNumberFormat="1" applyFont="1" applyBorder="1" applyAlignment="1">
      <alignment vertical="center"/>
    </xf>
    <xf numFmtId="9" fontId="9" fillId="17" borderId="39" xfId="22" applyFont="1" applyFill="1" applyBorder="1" applyAlignment="1" applyProtection="1">
      <alignment horizontal="right"/>
      <protection locked="0"/>
    </xf>
    <xf numFmtId="3" fontId="9" fillId="16" borderId="16" xfId="33" applyNumberFormat="1" applyFont="1" applyFill="1" applyBorder="1"/>
    <xf numFmtId="9" fontId="9" fillId="0" borderId="19" xfId="22" applyFont="1" applyBorder="1" applyAlignment="1">
      <alignment horizontal="right"/>
    </xf>
    <xf numFmtId="9" fontId="9" fillId="17" borderId="35" xfId="22" applyFont="1" applyFill="1" applyBorder="1" applyAlignment="1" applyProtection="1">
      <alignment horizontal="right"/>
      <protection locked="0"/>
    </xf>
    <xf numFmtId="9" fontId="10" fillId="0" borderId="19" xfId="22" applyFont="1" applyBorder="1" applyAlignment="1">
      <alignment horizontal="right"/>
    </xf>
    <xf numFmtId="9" fontId="9" fillId="17" borderId="19" xfId="22" applyFont="1" applyFill="1" applyBorder="1" applyAlignment="1" applyProtection="1">
      <alignment horizontal="right"/>
      <protection locked="0"/>
    </xf>
    <xf numFmtId="3" fontId="9" fillId="16" borderId="43" xfId="33" applyNumberFormat="1" applyFont="1" applyFill="1" applyBorder="1"/>
    <xf numFmtId="9" fontId="9" fillId="0" borderId="0" xfId="22" applyFont="1"/>
    <xf numFmtId="3" fontId="1" fillId="16" borderId="0" xfId="33" applyNumberFormat="1" applyFont="1" applyFill="1" applyAlignment="1">
      <alignment horizontal="right"/>
    </xf>
    <xf numFmtId="9" fontId="10" fillId="0" borderId="16" xfId="22" applyFont="1" applyBorder="1" applyAlignment="1">
      <alignment vertical="center"/>
    </xf>
    <xf numFmtId="9" fontId="9" fillId="0" borderId="0" xfId="22" applyFont="1" applyAlignment="1">
      <alignment horizontal="right"/>
    </xf>
    <xf numFmtId="0" fontId="3" fillId="0" borderId="3" xfId="12" applyFont="1" applyFill="1" applyBorder="1" applyAlignment="1" applyProtection="1">
      <alignment horizontal="center" vertical="center"/>
    </xf>
    <xf numFmtId="42" fontId="10" fillId="0" borderId="0" xfId="31" applyNumberFormat="1" applyFont="1" applyAlignment="1">
      <alignment vertical="center"/>
    </xf>
    <xf numFmtId="179" fontId="1" fillId="16" borderId="20" xfId="31" applyNumberFormat="1" applyFont="1" applyFill="1" applyBorder="1" applyAlignment="1">
      <alignment horizontal="right"/>
    </xf>
    <xf numFmtId="0" fontId="2" fillId="0" borderId="6" xfId="31" applyBorder="1" applyAlignment="1">
      <alignment vertical="top"/>
    </xf>
    <xf numFmtId="10" fontId="66" fillId="0" borderId="2" xfId="22" applyNumberFormat="1" applyFont="1" applyFill="1" applyBorder="1" applyAlignment="1" applyProtection="1">
      <alignment vertical="center"/>
    </xf>
    <xf numFmtId="10" fontId="2" fillId="17" borderId="2" xfId="31" applyNumberFormat="1" applyFill="1" applyBorder="1" applyAlignment="1" applyProtection="1">
      <alignment horizontal="right" vertical="center"/>
      <protection locked="0"/>
    </xf>
    <xf numFmtId="176" fontId="9" fillId="16" borderId="16" xfId="33" applyNumberFormat="1" applyFont="1" applyFill="1" applyBorder="1"/>
    <xf numFmtId="176" fontId="9" fillId="0" borderId="0" xfId="33" applyNumberFormat="1" applyFont="1" applyAlignment="1">
      <alignment horizontal="right"/>
    </xf>
    <xf numFmtId="176" fontId="9" fillId="0" borderId="0" xfId="33" applyNumberFormat="1" applyFont="1"/>
    <xf numFmtId="176" fontId="9" fillId="16" borderId="0" xfId="33" applyNumberFormat="1" applyFont="1" applyFill="1"/>
    <xf numFmtId="176" fontId="9" fillId="16" borderId="20" xfId="33" applyNumberFormat="1" applyFont="1" applyFill="1" applyBorder="1"/>
    <xf numFmtId="176" fontId="5" fillId="0" borderId="0" xfId="33" applyNumberFormat="1" applyFont="1"/>
    <xf numFmtId="176" fontId="1" fillId="16" borderId="0" xfId="33" applyNumberFormat="1" applyFont="1" applyFill="1" applyAlignment="1">
      <alignment horizontal="right"/>
    </xf>
    <xf numFmtId="3" fontId="9" fillId="16" borderId="0" xfId="33" applyNumberFormat="1" applyFont="1" applyFill="1"/>
    <xf numFmtId="3" fontId="9" fillId="16" borderId="20" xfId="33" applyNumberFormat="1" applyFont="1" applyFill="1" applyBorder="1"/>
    <xf numFmtId="3" fontId="9" fillId="10" borderId="21" xfId="33" applyNumberFormat="1" applyFont="1" applyFill="1" applyBorder="1"/>
    <xf numFmtId="3" fontId="9" fillId="16" borderId="43" xfId="33" applyNumberFormat="1" applyFont="1" applyFill="1" applyBorder="1" applyAlignment="1">
      <alignment vertical="center"/>
    </xf>
    <xf numFmtId="1" fontId="17" fillId="0" borderId="16" xfId="33" applyNumberFormat="1" applyFont="1" applyBorder="1"/>
    <xf numFmtId="1" fontId="17" fillId="0" borderId="30" xfId="33" applyNumberFormat="1" applyFont="1" applyBorder="1"/>
    <xf numFmtId="3" fontId="9" fillId="16" borderId="44" xfId="33" applyNumberFormat="1" applyFont="1" applyFill="1" applyBorder="1" applyAlignment="1">
      <alignment vertical="center"/>
    </xf>
    <xf numFmtId="3" fontId="18" fillId="0" borderId="0" xfId="33" applyNumberFormat="1" applyFont="1" applyAlignment="1">
      <alignment vertical="center"/>
    </xf>
    <xf numFmtId="0" fontId="9" fillId="0" borderId="3" xfId="33" applyFont="1" applyBorder="1"/>
    <xf numFmtId="10" fontId="5" fillId="19" borderId="0" xfId="33" applyNumberFormat="1" applyFont="1" applyFill="1" applyAlignment="1">
      <alignment horizontal="right"/>
    </xf>
    <xf numFmtId="42" fontId="10" fillId="19" borderId="0" xfId="31" applyNumberFormat="1" applyFont="1" applyFill="1" applyAlignment="1">
      <alignment vertical="center"/>
    </xf>
    <xf numFmtId="179" fontId="1" fillId="16" borderId="0" xfId="22" applyNumberFormat="1" applyFont="1" applyFill="1" applyAlignment="1" applyProtection="1">
      <alignment horizontal="right"/>
    </xf>
    <xf numFmtId="1" fontId="66" fillId="0" borderId="0" xfId="12" applyNumberFormat="1" applyFont="1" applyAlignment="1">
      <alignment horizontal="right" vertical="center"/>
    </xf>
    <xf numFmtId="3" fontId="5" fillId="0" borderId="0" xfId="33" applyNumberFormat="1" applyFont="1" applyAlignment="1">
      <alignment horizontal="right" vertical="top"/>
    </xf>
    <xf numFmtId="3" fontId="9" fillId="10" borderId="19" xfId="33" applyNumberFormat="1" applyFont="1" applyFill="1" applyBorder="1"/>
    <xf numFmtId="3" fontId="9" fillId="10" borderId="22" xfId="33" applyNumberFormat="1" applyFont="1" applyFill="1" applyBorder="1"/>
    <xf numFmtId="3" fontId="5" fillId="0" borderId="19" xfId="33" applyNumberFormat="1" applyFont="1" applyBorder="1"/>
    <xf numFmtId="3" fontId="5" fillId="0" borderId="0" xfId="33" applyNumberFormat="1" applyFont="1" applyAlignment="1">
      <alignment horizontal="left"/>
    </xf>
    <xf numFmtId="172" fontId="5" fillId="17" borderId="20" xfId="33" applyNumberFormat="1" applyFont="1" applyFill="1" applyBorder="1" applyAlignment="1" applyProtection="1">
      <alignment horizontal="right"/>
      <protection locked="0"/>
    </xf>
    <xf numFmtId="172" fontId="5" fillId="0" borderId="19" xfId="33" applyNumberFormat="1" applyFont="1" applyBorder="1" applyAlignment="1">
      <alignment horizontal="right"/>
    </xf>
    <xf numFmtId="172" fontId="5" fillId="17" borderId="19" xfId="33" applyNumberFormat="1" applyFont="1" applyFill="1" applyBorder="1" applyAlignment="1" applyProtection="1">
      <alignment horizontal="right"/>
      <protection locked="0"/>
    </xf>
    <xf numFmtId="172" fontId="6" fillId="0" borderId="19" xfId="33" applyNumberFormat="1" applyFont="1" applyBorder="1" applyAlignment="1">
      <alignment horizontal="right"/>
    </xf>
    <xf numFmtId="168" fontId="9" fillId="0" borderId="28" xfId="31" applyNumberFormat="1" applyFont="1" applyBorder="1" applyAlignment="1">
      <alignment vertical="center"/>
    </xf>
    <xf numFmtId="10" fontId="66" fillId="0" borderId="6" xfId="31" applyNumberFormat="1" applyFont="1" applyBorder="1" applyAlignment="1">
      <alignment horizontal="right" vertical="top"/>
    </xf>
    <xf numFmtId="9" fontId="9" fillId="17" borderId="20" xfId="33" applyNumberFormat="1" applyFont="1" applyFill="1" applyBorder="1" applyAlignment="1" applyProtection="1">
      <alignment horizontal="right"/>
      <protection locked="0"/>
    </xf>
    <xf numFmtId="9" fontId="9" fillId="0" borderId="19" xfId="33" applyNumberFormat="1" applyFont="1" applyBorder="1" applyAlignment="1">
      <alignment horizontal="right"/>
    </xf>
    <xf numFmtId="9" fontId="9" fillId="17" borderId="19" xfId="33" applyNumberFormat="1" applyFont="1" applyFill="1" applyBorder="1" applyAlignment="1" applyProtection="1">
      <alignment horizontal="right"/>
      <protection locked="0"/>
    </xf>
    <xf numFmtId="9" fontId="10" fillId="0" borderId="19" xfId="33" applyNumberFormat="1" applyFont="1" applyBorder="1" applyAlignment="1">
      <alignment horizontal="right"/>
    </xf>
    <xf numFmtId="9" fontId="9" fillId="0" borderId="0" xfId="33" applyNumberFormat="1" applyFont="1"/>
    <xf numFmtId="9" fontId="9" fillId="0" borderId="0" xfId="33" applyNumberFormat="1" applyFont="1" applyAlignment="1">
      <alignment horizontal="center"/>
    </xf>
    <xf numFmtId="0" fontId="5" fillId="0" borderId="6" xfId="33" applyFont="1" applyBorder="1"/>
    <xf numFmtId="0" fontId="3" fillId="0" borderId="6" xfId="12" applyFont="1" applyFill="1" applyBorder="1" applyAlignment="1" applyProtection="1">
      <alignment horizontal="center" vertical="center"/>
    </xf>
    <xf numFmtId="0" fontId="3" fillId="0" borderId="0" xfId="30" applyFont="1" applyAlignment="1">
      <alignment vertical="center"/>
    </xf>
    <xf numFmtId="10" fontId="66" fillId="0" borderId="0" xfId="22" applyNumberFormat="1" applyFont="1" applyFill="1" applyAlignment="1" applyProtection="1">
      <alignment horizontal="right" vertical="center"/>
    </xf>
    <xf numFmtId="0" fontId="3" fillId="0" borderId="2" xfId="30" applyFont="1" applyBorder="1" applyAlignment="1">
      <alignment vertical="center"/>
    </xf>
    <xf numFmtId="10" fontId="9" fillId="0" borderId="16" xfId="22" applyNumberFormat="1" applyFont="1" applyFill="1" applyBorder="1" applyAlignment="1" applyProtection="1">
      <alignment vertical="center"/>
    </xf>
    <xf numFmtId="10" fontId="5" fillId="0" borderId="0" xfId="22" applyNumberFormat="1" applyFont="1" applyFill="1" applyBorder="1" applyAlignment="1" applyProtection="1">
      <alignment vertical="center"/>
    </xf>
    <xf numFmtId="10" fontId="9" fillId="0" borderId="0" xfId="22" applyNumberFormat="1" applyFont="1" applyFill="1" applyBorder="1" applyAlignment="1" applyProtection="1">
      <alignment vertical="center"/>
    </xf>
    <xf numFmtId="3" fontId="9" fillId="16" borderId="19" xfId="33" applyNumberFormat="1" applyFont="1" applyFill="1" applyBorder="1"/>
    <xf numFmtId="3" fontId="9" fillId="16" borderId="24" xfId="33" applyNumberFormat="1" applyFont="1" applyFill="1" applyBorder="1"/>
    <xf numFmtId="0" fontId="9" fillId="0" borderId="0" xfId="33" applyFont="1" applyAlignment="1">
      <alignment horizontal="right"/>
    </xf>
    <xf numFmtId="10" fontId="9" fillId="0" borderId="0" xfId="33" applyNumberFormat="1" applyFont="1" applyAlignment="1">
      <alignment horizontal="right"/>
    </xf>
    <xf numFmtId="179" fontId="59" fillId="0" borderId="0" xfId="22" applyNumberFormat="1" applyFont="1" applyFill="1" applyAlignment="1" applyProtection="1">
      <alignment horizontal="right" vertical="center"/>
    </xf>
    <xf numFmtId="10" fontId="65" fillId="0" borderId="0" xfId="33" applyNumberFormat="1" applyFont="1"/>
    <xf numFmtId="42" fontId="1" fillId="16" borderId="6" xfId="30" applyNumberFormat="1" applyFont="1" applyFill="1" applyBorder="1"/>
    <xf numFmtId="42" fontId="59" fillId="18" borderId="0" xfId="33" applyNumberFormat="1" applyFont="1" applyFill="1" applyAlignment="1">
      <alignment horizontal="left" vertical="center"/>
    </xf>
    <xf numFmtId="10" fontId="5" fillId="0" borderId="0" xfId="33" applyNumberFormat="1" applyFont="1" applyAlignment="1">
      <alignment vertical="top" wrapText="1"/>
    </xf>
    <xf numFmtId="177" fontId="9" fillId="17" borderId="27" xfId="33" applyNumberFormat="1" applyFont="1" applyFill="1" applyBorder="1" applyAlignment="1" applyProtection="1">
      <alignment horizontal="right" vertical="center"/>
      <protection locked="0"/>
    </xf>
    <xf numFmtId="10" fontId="17" fillId="0" borderId="0" xfId="33" applyNumberFormat="1" applyFont="1" applyAlignment="1">
      <alignment wrapText="1"/>
    </xf>
    <xf numFmtId="42" fontId="1" fillId="0" borderId="0" xfId="31" applyNumberFormat="1" applyFont="1" applyAlignment="1">
      <alignment vertical="center"/>
    </xf>
    <xf numFmtId="0" fontId="2" fillId="0" borderId="0" xfId="30" applyAlignment="1">
      <alignment wrapText="1"/>
    </xf>
    <xf numFmtId="0" fontId="79" fillId="0" borderId="0" xfId="30" applyFont="1" applyAlignment="1">
      <alignment horizontal="center"/>
    </xf>
    <xf numFmtId="10" fontId="64" fillId="0" borderId="0" xfId="33" applyNumberFormat="1" applyFont="1" applyAlignment="1">
      <alignment vertical="center"/>
    </xf>
    <xf numFmtId="3" fontId="5" fillId="0" borderId="0" xfId="33" applyNumberFormat="1" applyFont="1" applyAlignment="1">
      <alignment horizontal="left" vertical="center"/>
    </xf>
    <xf numFmtId="10" fontId="5" fillId="0" borderId="0" xfId="33" applyNumberFormat="1" applyFont="1" applyAlignment="1">
      <alignment vertical="center" wrapText="1"/>
    </xf>
    <xf numFmtId="0" fontId="31" fillId="0" borderId="0" xfId="33" applyFont="1" applyAlignment="1">
      <alignment horizontal="left"/>
    </xf>
    <xf numFmtId="0" fontId="52" fillId="0" borderId="0" xfId="0" applyFont="1" applyAlignment="1">
      <alignment horizontal="justify" vertical="center"/>
    </xf>
    <xf numFmtId="3" fontId="16" fillId="0" borderId="0" xfId="33" applyNumberFormat="1" applyFont="1" applyAlignment="1">
      <alignment horizontal="right" vertical="center"/>
    </xf>
    <xf numFmtId="0" fontId="66" fillId="0" borderId="0" xfId="31" applyFont="1" applyAlignment="1">
      <alignment horizontal="center" vertical="center"/>
    </xf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6" xfId="31" applyNumberFormat="1" applyBorder="1" applyAlignment="1">
      <alignment horizontal="right" vertical="center"/>
    </xf>
    <xf numFmtId="3" fontId="31" fillId="0" borderId="0" xfId="33" applyNumberFormat="1" applyFont="1" applyAlignment="1">
      <alignment horizontal="right" vertical="top"/>
    </xf>
    <xf numFmtId="0" fontId="67" fillId="0" borderId="0" xfId="0" applyFont="1" applyAlignment="1">
      <alignment vertical="top"/>
    </xf>
    <xf numFmtId="42" fontId="25" fillId="0" borderId="0" xfId="30" applyNumberFormat="1" applyFont="1"/>
    <xf numFmtId="3" fontId="31" fillId="0" borderId="0" xfId="33" applyNumberFormat="1" applyFont="1" applyAlignment="1">
      <alignment horizontal="right"/>
    </xf>
    <xf numFmtId="0" fontId="67" fillId="0" borderId="0" xfId="0" applyFont="1"/>
    <xf numFmtId="10" fontId="66" fillId="0" borderId="2" xfId="22" applyNumberFormat="1" applyFont="1" applyBorder="1" applyAlignment="1" applyProtection="1">
      <alignment horizontal="right" vertical="center"/>
    </xf>
    <xf numFmtId="0" fontId="73" fillId="0" borderId="0" xfId="33" applyFont="1" applyAlignment="1">
      <alignment vertical="center"/>
    </xf>
    <xf numFmtId="178" fontId="2" fillId="0" borderId="0" xfId="31" applyNumberFormat="1" applyAlignment="1">
      <alignment horizontal="right" vertical="center"/>
    </xf>
    <xf numFmtId="3" fontId="17" fillId="0" borderId="0" xfId="33" applyNumberFormat="1" applyFont="1" applyAlignment="1">
      <alignment horizontal="right" vertical="center"/>
    </xf>
    <xf numFmtId="3" fontId="15" fillId="0" borderId="0" xfId="33" applyNumberFormat="1" applyFont="1" applyAlignment="1">
      <alignment vertical="center"/>
    </xf>
    <xf numFmtId="180" fontId="9" fillId="16" borderId="16" xfId="42" applyNumberFormat="1" applyFont="1" applyFill="1" applyBorder="1" applyAlignment="1" applyProtection="1">
      <alignment vertical="center"/>
    </xf>
    <xf numFmtId="180" fontId="9" fillId="0" borderId="0" xfId="42" applyNumberFormat="1" applyFont="1" applyBorder="1" applyAlignment="1" applyProtection="1">
      <alignment horizontal="right" vertical="center"/>
    </xf>
    <xf numFmtId="180" fontId="9" fillId="0" borderId="0" xfId="42" applyNumberFormat="1" applyFont="1" applyBorder="1" applyAlignment="1" applyProtection="1">
      <alignment vertical="center"/>
    </xf>
    <xf numFmtId="180" fontId="9" fillId="16" borderId="0" xfId="42" applyNumberFormat="1" applyFont="1" applyFill="1" applyBorder="1" applyAlignment="1" applyProtection="1">
      <alignment vertical="center"/>
    </xf>
    <xf numFmtId="180" fontId="9" fillId="10" borderId="19" xfId="42" applyNumberFormat="1" applyFont="1" applyFill="1" applyBorder="1" applyAlignment="1" applyProtection="1">
      <alignment vertical="center"/>
    </xf>
    <xf numFmtId="180" fontId="9" fillId="10" borderId="21" xfId="42" applyNumberFormat="1" applyFont="1" applyFill="1" applyBorder="1" applyAlignment="1" applyProtection="1">
      <alignment vertical="center"/>
    </xf>
    <xf numFmtId="180" fontId="9" fillId="10" borderId="22" xfId="42" applyNumberFormat="1" applyFont="1" applyFill="1" applyBorder="1" applyAlignment="1" applyProtection="1">
      <alignment vertical="center"/>
    </xf>
    <xf numFmtId="180" fontId="9" fillId="16" borderId="20" xfId="42" applyNumberFormat="1" applyFont="1" applyFill="1" applyBorder="1" applyAlignment="1" applyProtection="1">
      <alignment vertical="center"/>
    </xf>
    <xf numFmtId="180" fontId="1" fillId="16" borderId="0" xfId="42" applyNumberFormat="1" applyFont="1" applyFill="1" applyBorder="1" applyAlignment="1" applyProtection="1">
      <alignment horizontal="right" vertical="center"/>
    </xf>
    <xf numFmtId="180" fontId="9" fillId="0" borderId="0" xfId="42" applyNumberFormat="1" applyFont="1" applyAlignment="1" applyProtection="1">
      <alignment vertical="center"/>
    </xf>
    <xf numFmtId="180" fontId="9" fillId="16" borderId="19" xfId="42" applyNumberFormat="1" applyFont="1" applyFill="1" applyBorder="1" applyAlignment="1" applyProtection="1">
      <alignment vertical="center"/>
    </xf>
    <xf numFmtId="9" fontId="30" fillId="16" borderId="0" xfId="33" applyNumberFormat="1" applyFont="1" applyFill="1" applyAlignment="1">
      <alignment horizontal="right" vertical="center"/>
    </xf>
    <xf numFmtId="180" fontId="2" fillId="16" borderId="23" xfId="42" applyNumberFormat="1" applyFont="1" applyFill="1" applyBorder="1" applyAlignment="1" applyProtection="1">
      <alignment vertical="center"/>
    </xf>
    <xf numFmtId="0" fontId="21" fillId="0" borderId="0" xfId="33" applyFont="1" applyAlignment="1">
      <alignment horizontal="left" vertical="center" indent="2"/>
    </xf>
    <xf numFmtId="0" fontId="31" fillId="0" borderId="0" xfId="33" applyFont="1" applyAlignment="1">
      <alignment horizontal="right" vertical="center"/>
    </xf>
    <xf numFmtId="0" fontId="5" fillId="0" borderId="0" xfId="33" applyFont="1" applyAlignment="1">
      <alignment horizontal="right" vertical="center"/>
    </xf>
    <xf numFmtId="180" fontId="5" fillId="0" borderId="0" xfId="42" applyNumberFormat="1" applyFont="1" applyBorder="1" applyAlignment="1" applyProtection="1">
      <alignment horizontal="right" vertical="center"/>
    </xf>
    <xf numFmtId="180" fontId="9" fillId="0" borderId="23" xfId="42" applyNumberFormat="1" applyFont="1" applyFill="1" applyBorder="1" applyAlignment="1" applyProtection="1">
      <alignment horizontal="right" vertical="center"/>
    </xf>
    <xf numFmtId="180" fontId="5" fillId="0" borderId="0" xfId="33" applyNumberFormat="1" applyFont="1" applyAlignment="1">
      <alignment vertical="center"/>
    </xf>
    <xf numFmtId="180" fontId="9" fillId="0" borderId="23" xfId="42" applyNumberFormat="1" applyFont="1" applyFill="1" applyBorder="1" applyAlignment="1" applyProtection="1">
      <alignment vertical="center"/>
    </xf>
    <xf numFmtId="0" fontId="76" fillId="0" borderId="0" xfId="0" applyFont="1" applyAlignment="1">
      <alignment vertical="center"/>
    </xf>
    <xf numFmtId="171" fontId="1" fillId="0" borderId="0" xfId="33" applyNumberFormat="1" applyFont="1" applyAlignment="1">
      <alignment horizontal="right" vertical="center"/>
    </xf>
    <xf numFmtId="0" fontId="61" fillId="0" borderId="0" xfId="33" applyFont="1" applyAlignment="1">
      <alignment vertical="center"/>
    </xf>
    <xf numFmtId="0" fontId="2" fillId="0" borderId="0" xfId="31" applyAlignment="1">
      <alignment horizontal="right" vertical="center"/>
    </xf>
    <xf numFmtId="0" fontId="0" fillId="0" borderId="0" xfId="0" applyAlignment="1">
      <alignment horizontal="left" vertical="center"/>
    </xf>
    <xf numFmtId="10" fontId="66" fillId="0" borderId="0" xfId="22" applyNumberFormat="1" applyFont="1" applyAlignment="1" applyProtection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42" fontId="2" fillId="0" borderId="2" xfId="30" applyNumberFormat="1" applyBorder="1" applyAlignment="1">
      <alignment vertical="center"/>
    </xf>
    <xf numFmtId="3" fontId="16" fillId="0" borderId="0" xfId="33" applyNumberFormat="1" applyFont="1" applyAlignment="1">
      <alignment horizontal="right"/>
    </xf>
    <xf numFmtId="42" fontId="2" fillId="0" borderId="2" xfId="30" applyNumberFormat="1" applyBorder="1"/>
    <xf numFmtId="10" fontId="65" fillId="0" borderId="0" xfId="33" applyNumberFormat="1" applyFont="1" applyAlignment="1">
      <alignment vertical="top" wrapText="1"/>
    </xf>
    <xf numFmtId="3" fontId="16" fillId="0" borderId="0" xfId="33" applyNumberFormat="1" applyFont="1"/>
    <xf numFmtId="1" fontId="3" fillId="0" borderId="6" xfId="12" applyNumberFormat="1" applyFont="1" applyFill="1" applyBorder="1" applyAlignment="1" applyProtection="1">
      <alignment horizontal="center" vertical="center"/>
    </xf>
    <xf numFmtId="3" fontId="9" fillId="16" borderId="16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horizontal="right" vertical="center"/>
    </xf>
    <xf numFmtId="3" fontId="5" fillId="0" borderId="19" xfId="33" applyNumberFormat="1" applyFont="1" applyBorder="1" applyAlignment="1">
      <alignment vertical="center"/>
    </xf>
    <xf numFmtId="3" fontId="9" fillId="16" borderId="19" xfId="42" applyNumberFormat="1" applyFont="1" applyFill="1" applyBorder="1" applyAlignment="1" applyProtection="1">
      <alignment vertical="center"/>
    </xf>
    <xf numFmtId="3" fontId="9" fillId="10" borderId="0" xfId="42" applyNumberFormat="1" applyFont="1" applyFill="1" applyBorder="1" applyAlignment="1" applyProtection="1">
      <alignment vertical="center"/>
    </xf>
    <xf numFmtId="42" fontId="9" fillId="0" borderId="0" xfId="33" applyNumberFormat="1" applyFont="1" applyAlignment="1">
      <alignment vertical="center"/>
    </xf>
    <xf numFmtId="3" fontId="9" fillId="10" borderId="19" xfId="42" applyNumberFormat="1" applyFont="1" applyFill="1" applyBorder="1" applyAlignment="1" applyProtection="1">
      <alignment vertical="center"/>
    </xf>
    <xf numFmtId="3" fontId="9" fillId="10" borderId="20" xfId="42" applyNumberFormat="1" applyFont="1" applyFill="1" applyBorder="1" applyAlignment="1" applyProtection="1">
      <alignment vertical="center"/>
    </xf>
    <xf numFmtId="3" fontId="9" fillId="10" borderId="16" xfId="42" applyNumberFormat="1" applyFont="1" applyFill="1" applyBorder="1" applyAlignment="1" applyProtection="1">
      <alignment vertical="center"/>
    </xf>
    <xf numFmtId="9" fontId="2" fillId="17" borderId="20" xfId="31" applyNumberFormat="1" applyFill="1" applyBorder="1" applyAlignment="1" applyProtection="1">
      <alignment horizontal="right" vertical="center"/>
      <protection locked="0"/>
    </xf>
    <xf numFmtId="10" fontId="66" fillId="0" borderId="0" xfId="22" applyNumberFormat="1" applyFont="1" applyBorder="1" applyAlignment="1">
      <alignment horizontal="right" vertical="center"/>
    </xf>
    <xf numFmtId="10" fontId="66" fillId="0" borderId="0" xfId="31" applyNumberFormat="1" applyFont="1" applyAlignment="1">
      <alignment horizontal="center" vertical="top"/>
    </xf>
    <xf numFmtId="10" fontId="2" fillId="17" borderId="20" xfId="31" applyNumberFormat="1" applyFill="1" applyBorder="1" applyAlignment="1" applyProtection="1">
      <alignment vertical="center"/>
      <protection locked="0"/>
    </xf>
    <xf numFmtId="0" fontId="9" fillId="0" borderId="0" xfId="33" applyFont="1" applyAlignment="1">
      <alignment vertical="top"/>
    </xf>
    <xf numFmtId="10" fontId="66" fillId="0" borderId="0" xfId="31" applyNumberFormat="1" applyFont="1" applyAlignment="1">
      <alignment horizontal="right" vertical="top"/>
    </xf>
    <xf numFmtId="10" fontId="69" fillId="0" borderId="0" xfId="33" applyNumberFormat="1" applyFont="1"/>
    <xf numFmtId="10" fontId="66" fillId="0" borderId="0" xfId="33" applyNumberFormat="1" applyFont="1"/>
    <xf numFmtId="0" fontId="2" fillId="0" borderId="0" xfId="31"/>
    <xf numFmtId="10" fontId="66" fillId="0" borderId="0" xfId="22" applyNumberFormat="1" applyFont="1" applyFill="1" applyBorder="1" applyAlignment="1" applyProtection="1">
      <alignment vertical="center"/>
    </xf>
    <xf numFmtId="174" fontId="2" fillId="17" borderId="20" xfId="30" applyNumberFormat="1" applyFill="1" applyBorder="1" applyAlignment="1" applyProtection="1">
      <alignment vertical="center"/>
      <protection locked="0"/>
    </xf>
    <xf numFmtId="10" fontId="66" fillId="0" borderId="2" xfId="22" applyNumberFormat="1" applyFont="1" applyFill="1" applyBorder="1" applyAlignment="1" applyProtection="1">
      <alignment horizontal="right" vertical="center"/>
    </xf>
    <xf numFmtId="168" fontId="10" fillId="0" borderId="41" xfId="31" applyNumberFormat="1" applyFont="1" applyBorder="1" applyAlignment="1">
      <alignment vertical="center"/>
    </xf>
    <xf numFmtId="10" fontId="5" fillId="0" borderId="41" xfId="33" applyNumberFormat="1" applyFont="1" applyBorder="1" applyAlignment="1">
      <alignment horizontal="right"/>
    </xf>
    <xf numFmtId="168" fontId="10" fillId="0" borderId="19" xfId="31" applyNumberFormat="1" applyFont="1" applyBorder="1" applyAlignment="1">
      <alignment vertical="center"/>
    </xf>
    <xf numFmtId="1" fontId="3" fillId="21" borderId="0" xfId="12" applyNumberFormat="1" applyFont="1" applyFill="1" applyBorder="1" applyAlignment="1" applyProtection="1">
      <alignment horizontal="center" vertical="center"/>
    </xf>
    <xf numFmtId="0" fontId="3" fillId="0" borderId="0" xfId="31" applyFont="1" applyAlignment="1">
      <alignment horizontal="left" vertical="center"/>
    </xf>
    <xf numFmtId="0" fontId="83" fillId="0" borderId="2" xfId="31" applyFont="1" applyBorder="1" applyAlignment="1">
      <alignment vertical="center"/>
    </xf>
    <xf numFmtId="0" fontId="3" fillId="0" borderId="2" xfId="31" applyFont="1" applyBorder="1" applyAlignment="1">
      <alignment horizontal="left" vertical="center"/>
    </xf>
    <xf numFmtId="0" fontId="3" fillId="0" borderId="0" xfId="31" applyFont="1" applyAlignment="1">
      <alignment vertical="center"/>
    </xf>
    <xf numFmtId="0" fontId="3" fillId="0" borderId="2" xfId="31" applyFont="1" applyBorder="1" applyAlignment="1">
      <alignment vertical="center"/>
    </xf>
    <xf numFmtId="0" fontId="14" fillId="16" borderId="0" xfId="33" applyFont="1" applyFill="1" applyAlignment="1">
      <alignment vertical="center"/>
    </xf>
    <xf numFmtId="0" fontId="83" fillId="0" borderId="0" xfId="31" applyFont="1" applyAlignment="1">
      <alignment vertical="center"/>
    </xf>
    <xf numFmtId="10" fontId="9" fillId="17" borderId="0" xfId="22" applyNumberFormat="1" applyFont="1" applyFill="1" applyBorder="1" applyAlignment="1" applyProtection="1">
      <alignment horizontal="right" vertical="center"/>
      <protection locked="0"/>
    </xf>
    <xf numFmtId="10" fontId="9" fillId="17" borderId="0" xfId="12" applyNumberFormat="1" applyFont="1" applyFill="1" applyBorder="1" applyAlignment="1" applyProtection="1">
      <alignment horizontal="right" vertical="center"/>
      <protection locked="0"/>
    </xf>
    <xf numFmtId="1" fontId="10" fillId="16" borderId="16" xfId="33" applyNumberFormat="1" applyFont="1" applyFill="1" applyBorder="1" applyAlignment="1">
      <alignment horizontal="left" vertical="center"/>
    </xf>
    <xf numFmtId="3" fontId="17" fillId="0" borderId="0" xfId="33" applyNumberFormat="1" applyFont="1" applyAlignment="1">
      <alignment horizontal="right" wrapText="1"/>
    </xf>
    <xf numFmtId="1" fontId="10" fillId="16" borderId="31" xfId="33" applyNumberFormat="1" applyFont="1" applyFill="1" applyBorder="1" applyAlignment="1">
      <alignment horizontal="left" vertical="center"/>
    </xf>
    <xf numFmtId="0" fontId="2" fillId="0" borderId="6" xfId="31" applyBorder="1" applyAlignment="1">
      <alignment horizontal="left" vertical="center" wrapText="1"/>
    </xf>
    <xf numFmtId="1" fontId="10" fillId="16" borderId="0" xfId="33" applyNumberFormat="1" applyFont="1" applyFill="1" applyAlignment="1">
      <alignment horizontal="left" vertical="center"/>
    </xf>
    <xf numFmtId="10" fontId="56" fillId="0" borderId="0" xfId="33" applyNumberFormat="1" applyFont="1" applyAlignment="1">
      <alignment horizontal="center"/>
    </xf>
    <xf numFmtId="0" fontId="71" fillId="0" borderId="0" xfId="33" applyFont="1" applyAlignment="1">
      <alignment horizontal="left" vertical="top" wrapText="1"/>
    </xf>
    <xf numFmtId="10" fontId="17" fillId="0" borderId="0" xfId="33" applyNumberFormat="1" applyFont="1" applyAlignment="1">
      <alignment horizontal="right" wrapText="1"/>
    </xf>
    <xf numFmtId="0" fontId="72" fillId="0" borderId="0" xfId="33" applyFont="1" applyAlignment="1">
      <alignment horizontal="left" vertical="top" wrapText="1"/>
    </xf>
    <xf numFmtId="164" fontId="10" fillId="16" borderId="20" xfId="33" applyNumberFormat="1" applyFont="1" applyFill="1" applyBorder="1" applyAlignment="1">
      <alignment horizontal="left" vertical="center"/>
    </xf>
    <xf numFmtId="164" fontId="10" fillId="16" borderId="39" xfId="33" applyNumberFormat="1" applyFont="1" applyFill="1" applyBorder="1" applyAlignment="1">
      <alignment horizontal="left" vertical="center"/>
    </xf>
    <xf numFmtId="10" fontId="56" fillId="0" borderId="0" xfId="33" applyNumberFormat="1" applyFont="1" applyAlignment="1">
      <alignment horizontal="center" vertical="center"/>
    </xf>
    <xf numFmtId="180" fontId="75" fillId="0" borderId="0" xfId="42" applyNumberFormat="1" applyFont="1" applyBorder="1" applyAlignment="1" applyProtection="1">
      <alignment horizontal="center" vertical="center"/>
    </xf>
    <xf numFmtId="10" fontId="5" fillId="0" borderId="0" xfId="33" applyNumberFormat="1" applyFont="1" applyAlignment="1">
      <alignment horizontal="left" vertical="top" wrapText="1"/>
    </xf>
    <xf numFmtId="0" fontId="2" fillId="17" borderId="0" xfId="30" applyFill="1" applyAlignment="1" applyProtection="1">
      <alignment horizontal="left" vertical="center"/>
      <protection locked="0"/>
    </xf>
    <xf numFmtId="0" fontId="72" fillId="0" borderId="0" xfId="33" applyFont="1" applyAlignment="1">
      <alignment horizontal="left" wrapText="1"/>
    </xf>
    <xf numFmtId="0" fontId="5" fillId="0" borderId="0" xfId="33" applyFont="1" applyAlignment="1">
      <alignment horizontal="center"/>
    </xf>
    <xf numFmtId="0" fontId="82" fillId="0" borderId="0" xfId="33" applyFont="1" applyAlignment="1">
      <alignment horizontal="left" vertical="center" wrapText="1"/>
    </xf>
    <xf numFmtId="0" fontId="82" fillId="0" borderId="0" xfId="33" applyFont="1" applyAlignment="1">
      <alignment horizontal="left" vertical="center"/>
    </xf>
    <xf numFmtId="0" fontId="3" fillId="0" borderId="2" xfId="30" applyFont="1" applyBorder="1" applyAlignment="1">
      <alignment horizontal="left" wrapText="1"/>
    </xf>
    <xf numFmtId="0" fontId="80" fillId="0" borderId="0" xfId="33" applyFont="1" applyAlignment="1">
      <alignment horizontal="left" vertical="top" wrapText="1"/>
    </xf>
  </cellXfs>
  <cellStyles count="48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 2 3" xfId="43" xr:uid="{456CB37D-6B48-41E6-85FD-DCB0CD4083C9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Euro 2" xfId="44" xr:uid="{0AB4EF20-20DE-416A-8095-A23F7F342544}"/>
    <cellStyle name="graue hinterlegung" xfId="17" xr:uid="{00000000-0005-0000-0000-000010000000}"/>
    <cellStyle name="Gut" xfId="18" builtinId="26" customBuiltin="1"/>
    <cellStyle name="Komma" xfId="42" builtinId="3"/>
    <cellStyle name="Komma 2" xfId="19" xr:uid="{00000000-0005-0000-0000-000012000000}"/>
    <cellStyle name="Komma 2 2" xfId="45" xr:uid="{FD684F23-4C29-4684-8531-4148F0BBB4B7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2 2" xfId="46" xr:uid="{149C6D0F-9A25-4D14-9774-F95406244E9F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 5 2" xfId="47" xr:uid="{6B80EFA9-57AC-4BE7-9A53-A89CD4D9FAA8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4"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ont>
        <color theme="0"/>
      </font>
      <fill>
        <patternFill>
          <fgColor theme="0"/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Scroll" dx="22" fmlaLink="$E$50" horiz="1" max="5" page="0" val="0"/>
</file>

<file path=xl/ctrlProps/ctrlProp10.xml><?xml version="1.0" encoding="utf-8"?>
<formControlPr xmlns="http://schemas.microsoft.com/office/spreadsheetml/2009/9/main" objectType="Scroll" dx="22" fmlaLink="$E$47" horiz="1" max="5" min="1" page="0"/>
</file>

<file path=xl/ctrlProps/ctrlProp11.xml><?xml version="1.0" encoding="utf-8"?>
<formControlPr xmlns="http://schemas.microsoft.com/office/spreadsheetml/2009/9/main" objectType="Scroll" dx="22" fmlaLink="$E$48" horiz="1" max="5" min="1" page="0"/>
</file>

<file path=xl/ctrlProps/ctrlProp12.xml><?xml version="1.0" encoding="utf-8"?>
<formControlPr xmlns="http://schemas.microsoft.com/office/spreadsheetml/2009/9/main" objectType="Scroll" dx="22" fmlaLink="$E$49" horiz="1" max="5" min="1" page="0"/>
</file>

<file path=xl/ctrlProps/ctrlProp13.xml><?xml version="1.0" encoding="utf-8"?>
<formControlPr xmlns="http://schemas.microsoft.com/office/spreadsheetml/2009/9/main" objectType="Scroll" dx="22" fmlaLink="$E$45" horiz="1" max="42" min="6" page="0" val="19"/>
</file>

<file path=xl/ctrlProps/ctrlProp14.xml><?xml version="1.0" encoding="utf-8"?>
<formControlPr xmlns="http://schemas.microsoft.com/office/spreadsheetml/2009/9/main" objectType="Scroll" dx="22" fmlaLink="$E$47" horiz="1" max="5" min="1" page="0"/>
</file>

<file path=xl/ctrlProps/ctrlProp15.xml><?xml version="1.0" encoding="utf-8"?>
<formControlPr xmlns="http://schemas.microsoft.com/office/spreadsheetml/2009/9/main" objectType="Scroll" dx="22" fmlaLink="$E$46" horiz="1" max="5" min="1" page="0" val="2"/>
</file>

<file path=xl/ctrlProps/ctrlProp16.xml><?xml version="1.0" encoding="utf-8"?>
<formControlPr xmlns="http://schemas.microsoft.com/office/spreadsheetml/2009/9/main" objectType="Scroll" dx="22" fmlaLink="$E$48" horiz="1" max="5" min="1" page="0"/>
</file>

<file path=xl/ctrlProps/ctrlProp17.xml><?xml version="1.0" encoding="utf-8"?>
<formControlPr xmlns="http://schemas.microsoft.com/office/spreadsheetml/2009/9/main" objectType="Scroll" dx="22" fmlaLink="$E$50" horiz="1" max="5" page="0" val="0"/>
</file>

<file path=xl/ctrlProps/ctrlProp18.xml><?xml version="1.0" encoding="utf-8"?>
<formControlPr xmlns="http://schemas.microsoft.com/office/spreadsheetml/2009/9/main" objectType="Scroll" dx="22" fmlaLink="$E$51" horiz="1" max="3" page="0" val="0"/>
</file>

<file path=xl/ctrlProps/ctrlProp19.xml><?xml version="1.0" encoding="utf-8"?>
<formControlPr xmlns="http://schemas.microsoft.com/office/spreadsheetml/2009/9/main" objectType="Scroll" dx="22" fmlaLink="$E$52" horiz="1" max="4" page="0" val="0"/>
</file>

<file path=xl/ctrlProps/ctrlProp2.xml><?xml version="1.0" encoding="utf-8"?>
<formControlPr xmlns="http://schemas.microsoft.com/office/spreadsheetml/2009/9/main" objectType="Scroll" dx="22" fmlaLink="$E$51" horiz="1" max="3" page="0" val="0"/>
</file>

<file path=xl/ctrlProps/ctrlProp20.xml><?xml version="1.0" encoding="utf-8"?>
<formControlPr xmlns="http://schemas.microsoft.com/office/spreadsheetml/2009/9/main" objectType="Scroll" dx="22" fmlaLink="$E$53" horiz="1" max="5" page="0" val="0"/>
</file>

<file path=xl/ctrlProps/ctrlProp21.xml><?xml version="1.0" encoding="utf-8"?>
<formControlPr xmlns="http://schemas.microsoft.com/office/spreadsheetml/2009/9/main" objectType="Scroll" dx="22" fmlaLink="$E$40" horiz="1" max="14" min="6" noThreeD="1" page="10" val="9"/>
</file>

<file path=xl/ctrlProps/ctrlProp22.xml><?xml version="1.0" encoding="utf-8"?>
<formControlPr xmlns="http://schemas.microsoft.com/office/spreadsheetml/2009/9/main" objectType="Scroll" dx="22" fmlaLink="$E$41" horiz="1" max="3" min="1" noThreeD="1" page="10"/>
</file>

<file path=xl/ctrlProps/ctrlProp23.xml><?xml version="1.0" encoding="utf-8"?>
<formControlPr xmlns="http://schemas.microsoft.com/office/spreadsheetml/2009/9/main" objectType="Scroll" dx="22" fmlaLink="$E$42" horiz="1" max="3" min="1" noThreeD="1" page="10"/>
</file>

<file path=xl/ctrlProps/ctrlProp24.xml><?xml version="1.0" encoding="utf-8"?>
<formControlPr xmlns="http://schemas.microsoft.com/office/spreadsheetml/2009/9/main" objectType="Scroll" dx="48" fmlaLink="$E$43" horiz="1" max="3" min="1" noThreeD="1" page="10"/>
</file>

<file path=xl/ctrlProps/ctrlProp25.xml><?xml version="1.0" encoding="utf-8"?>
<formControlPr xmlns="http://schemas.microsoft.com/office/spreadsheetml/2009/9/main" objectType="Scroll" dx="22" fmlaLink="$E$35" horiz="1" max="25" min="1" page="0" val="9"/>
</file>

<file path=xl/ctrlProps/ctrlProp26.xml><?xml version="1.0" encoding="utf-8"?>
<formControlPr xmlns="http://schemas.microsoft.com/office/spreadsheetml/2009/9/main" objectType="Scroll" dx="22" fmlaLink="$E$36" horiz="1" max="5" min="1" page="0"/>
</file>

<file path=xl/ctrlProps/ctrlProp27.xml><?xml version="1.0" encoding="utf-8"?>
<formControlPr xmlns="http://schemas.microsoft.com/office/spreadsheetml/2009/9/main" objectType="Scroll" dx="22" fmlaLink="$E$37" horiz="1" max="5" min="1" page="0"/>
</file>

<file path=xl/ctrlProps/ctrlProp28.xml><?xml version="1.0" encoding="utf-8"?>
<formControlPr xmlns="http://schemas.microsoft.com/office/spreadsheetml/2009/9/main" objectType="Scroll" dx="22" fmlaLink="$E$38" horiz="1" max="5" min="1" page="0"/>
</file>

<file path=xl/ctrlProps/ctrlProp29.xml><?xml version="1.0" encoding="utf-8"?>
<formControlPr xmlns="http://schemas.microsoft.com/office/spreadsheetml/2009/9/main" objectType="Scroll" dx="22" fmlaLink="$E$40" horiz="1" max="3" page="0" val="0"/>
</file>

<file path=xl/ctrlProps/ctrlProp3.xml><?xml version="1.0" encoding="utf-8"?>
<formControlPr xmlns="http://schemas.microsoft.com/office/spreadsheetml/2009/9/main" objectType="Scroll" dx="22" fmlaLink="$E$52" horiz="1" max="3" page="0" val="0"/>
</file>

<file path=xl/ctrlProps/ctrlProp30.xml><?xml version="1.0" encoding="utf-8"?>
<formControlPr xmlns="http://schemas.microsoft.com/office/spreadsheetml/2009/9/main" objectType="Scroll" dx="22" fmlaLink="$E$41" horiz="1" max="3" page="0" val="0"/>
</file>

<file path=xl/ctrlProps/ctrlProp31.xml><?xml version="1.0" encoding="utf-8"?>
<formControlPr xmlns="http://schemas.microsoft.com/office/spreadsheetml/2009/9/main" objectType="Scroll" dx="22" fmlaLink="$E$42" horiz="1" max="5" page="0" val="0"/>
</file>

<file path=xl/ctrlProps/ctrlProp32.xml><?xml version="1.0" encoding="utf-8"?>
<formControlPr xmlns="http://schemas.microsoft.com/office/spreadsheetml/2009/9/main" objectType="Scroll" dx="22" fmlaLink="$E$43" horiz="1" max="42" min="8" page="0" val="22"/>
</file>

<file path=xl/ctrlProps/ctrlProp33.xml><?xml version="1.0" encoding="utf-8"?>
<formControlPr xmlns="http://schemas.microsoft.com/office/spreadsheetml/2009/9/main" objectType="Scroll" dx="22" fmlaLink="$E$44" horiz="1" max="5" min="1" page="0"/>
</file>

<file path=xl/ctrlProps/ctrlProp34.xml><?xml version="1.0" encoding="utf-8"?>
<formControlPr xmlns="http://schemas.microsoft.com/office/spreadsheetml/2009/9/main" objectType="Scroll" dx="22" fmlaLink="$E$45" horiz="1" max="5" min="1" page="0"/>
</file>

<file path=xl/ctrlProps/ctrlProp35.xml><?xml version="1.0" encoding="utf-8"?>
<formControlPr xmlns="http://schemas.microsoft.com/office/spreadsheetml/2009/9/main" objectType="Scroll" dx="22" fmlaLink="$E$46" horiz="1" max="5" min="1" page="0"/>
</file>

<file path=xl/ctrlProps/ctrlProp36.xml><?xml version="1.0" encoding="utf-8"?>
<formControlPr xmlns="http://schemas.microsoft.com/office/spreadsheetml/2009/9/main" objectType="Scroll" dx="22" fmlaLink="$E$48" horiz="1" max="2" page="0" val="0"/>
</file>

<file path=xl/ctrlProps/ctrlProp37.xml><?xml version="1.0" encoding="utf-8"?>
<formControlPr xmlns="http://schemas.microsoft.com/office/spreadsheetml/2009/9/main" objectType="Scroll" dx="22" fmlaLink="$E$50" horiz="1" max="3" page="0" val="0"/>
</file>

<file path=xl/ctrlProps/ctrlProp38.xml><?xml version="1.0" encoding="utf-8"?>
<formControlPr xmlns="http://schemas.microsoft.com/office/spreadsheetml/2009/9/main" objectType="Scroll" dx="22" fmlaLink="$E$51" horiz="1" max="5" page="0" val="0"/>
</file>

<file path=xl/ctrlProps/ctrlProp39.xml><?xml version="1.0" encoding="utf-8"?>
<formControlPr xmlns="http://schemas.microsoft.com/office/spreadsheetml/2009/9/main" objectType="Scroll" dx="22" fmlaLink="$E$49" horiz="1" max="2" page="0" val="0"/>
</file>

<file path=xl/ctrlProps/ctrlProp4.xml><?xml version="1.0" encoding="utf-8"?>
<formControlPr xmlns="http://schemas.microsoft.com/office/spreadsheetml/2009/9/main" objectType="Scroll" dx="22" fmlaLink="$E$53" horiz="1" max="5" page="0" val="0"/>
</file>

<file path=xl/ctrlProps/ctrlProp40.xml><?xml version="1.0" encoding="utf-8"?>
<formControlPr xmlns="http://schemas.microsoft.com/office/spreadsheetml/2009/9/main" objectType="Scroll" dx="22" fmlaLink="$E$43" horiz="1" max="42" min="6" page="5" val="18"/>
</file>

<file path=xl/ctrlProps/ctrlProp41.xml><?xml version="1.0" encoding="utf-8"?>
<formControlPr xmlns="http://schemas.microsoft.com/office/spreadsheetml/2009/9/main" objectType="Scroll" dx="22" fmlaLink="$E$44" horiz="1" max="5" min="1" page="10"/>
</file>

<file path=xl/ctrlProps/ctrlProp42.xml><?xml version="1.0" encoding="utf-8"?>
<formControlPr xmlns="http://schemas.microsoft.com/office/spreadsheetml/2009/9/main" objectType="Scroll" dx="22" fmlaLink="$E$45" horiz="1" max="5" min="1" noThreeD="1" page="10"/>
</file>

<file path=xl/ctrlProps/ctrlProp43.xml><?xml version="1.0" encoding="utf-8"?>
<formControlPr xmlns="http://schemas.microsoft.com/office/spreadsheetml/2009/9/main" objectType="Scroll" dx="22" fmlaLink="$E$46" horiz="1" max="5" min="1" noThreeD="1" page="5"/>
</file>

<file path=xl/ctrlProps/ctrlProp44.xml><?xml version="1.0" encoding="utf-8"?>
<formControlPr xmlns="http://schemas.microsoft.com/office/spreadsheetml/2009/9/main" objectType="Scroll" dx="22" fmlaLink="$E$48" horiz="1" max="5" noThreeD="1" page="10" val="0"/>
</file>

<file path=xl/ctrlProps/ctrlProp45.xml><?xml version="1.0" encoding="utf-8"?>
<formControlPr xmlns="http://schemas.microsoft.com/office/spreadsheetml/2009/9/main" objectType="Scroll" dx="22" fmlaLink="$E$49" horiz="1" max="3" noThreeD="1" page="5" val="0"/>
</file>

<file path=xl/ctrlProps/ctrlProp46.xml><?xml version="1.0" encoding="utf-8"?>
<formControlPr xmlns="http://schemas.microsoft.com/office/spreadsheetml/2009/9/main" objectType="Scroll" dx="22" fmlaLink="$E$43" horiz="1" max="42" min="6" noThreeD="1" page="10" val="25"/>
</file>

<file path=xl/ctrlProps/ctrlProp47.xml><?xml version="1.0" encoding="utf-8"?>
<formControlPr xmlns="http://schemas.microsoft.com/office/spreadsheetml/2009/9/main" objectType="Scroll" dx="22" fmlaLink="$E$44" horiz="1" max="5" min="1" noThreeD="1" page="10"/>
</file>

<file path=xl/ctrlProps/ctrlProp48.xml><?xml version="1.0" encoding="utf-8"?>
<formControlPr xmlns="http://schemas.microsoft.com/office/spreadsheetml/2009/9/main" objectType="Scroll" dx="22" fmlaLink="$E$45" horiz="1" max="5" min="1" noThreeD="1" page="10"/>
</file>

<file path=xl/ctrlProps/ctrlProp49.xml><?xml version="1.0" encoding="utf-8"?>
<formControlPr xmlns="http://schemas.microsoft.com/office/spreadsheetml/2009/9/main" objectType="Scroll" dx="48" fmlaLink="$E$46" horiz="1" max="5" min="1" noThreeD="1" page="10"/>
</file>

<file path=xl/ctrlProps/ctrlProp5.xml><?xml version="1.0" encoding="utf-8"?>
<formControlPr xmlns="http://schemas.microsoft.com/office/spreadsheetml/2009/9/main" objectType="Scroll" dx="22" fmlaLink="$E$45" horiz="1" max="25" min="1" page="0" val="15"/>
</file>

<file path=xl/ctrlProps/ctrlProp50.xml><?xml version="1.0" encoding="utf-8"?>
<formControlPr xmlns="http://schemas.microsoft.com/office/spreadsheetml/2009/9/main" objectType="Scroll" dx="22" fmlaLink="$E$48" horiz="1" max="5" noThreeD="1" page="10" val="0"/>
</file>

<file path=xl/ctrlProps/ctrlProp51.xml><?xml version="1.0" encoding="utf-8"?>
<formControlPr xmlns="http://schemas.microsoft.com/office/spreadsheetml/2009/9/main" objectType="Scroll" dx="22" fmlaLink="$E$49" horiz="1" max="3" noThreeD="1" page="5" val="0"/>
</file>

<file path=xl/ctrlProps/ctrlProp52.xml><?xml version="1.0" encoding="utf-8"?>
<formControlPr xmlns="http://schemas.microsoft.com/office/spreadsheetml/2009/9/main" objectType="Scroll" dx="22" fmlaLink="$E$43" horiz="1" max="42" min="6" noThreeD="1" page="10" val="8"/>
</file>

<file path=xl/ctrlProps/ctrlProp53.xml><?xml version="1.0" encoding="utf-8"?>
<formControlPr xmlns="http://schemas.microsoft.com/office/spreadsheetml/2009/9/main" objectType="Scroll" dx="22" fmlaLink="$E$44" horiz="1" max="5" min="1" noThreeD="1" page="10"/>
</file>

<file path=xl/ctrlProps/ctrlProp54.xml><?xml version="1.0" encoding="utf-8"?>
<formControlPr xmlns="http://schemas.microsoft.com/office/spreadsheetml/2009/9/main" objectType="Scroll" dx="22" fmlaLink="$E$45" horiz="1" max="5" min="1" noThreeD="1" page="10" val="2"/>
</file>

<file path=xl/ctrlProps/ctrlProp55.xml><?xml version="1.0" encoding="utf-8"?>
<formControlPr xmlns="http://schemas.microsoft.com/office/spreadsheetml/2009/9/main" objectType="Scroll" dx="48" fmlaLink="$E$46" horiz="1" max="5" min="1" noThreeD="1" page="10"/>
</file>

<file path=xl/ctrlProps/ctrlProp56.xml><?xml version="1.0" encoding="utf-8"?>
<formControlPr xmlns="http://schemas.microsoft.com/office/spreadsheetml/2009/9/main" objectType="Scroll" dx="22" fmlaLink="$E$48" horiz="1" max="5" noThreeD="1" page="10" val="0"/>
</file>

<file path=xl/ctrlProps/ctrlProp57.xml><?xml version="1.0" encoding="utf-8"?>
<formControlPr xmlns="http://schemas.microsoft.com/office/spreadsheetml/2009/9/main" objectType="Scroll" dx="22" fmlaLink="$E$49" horiz="1" max="3" noThreeD="1" page="5" val="0"/>
</file>

<file path=xl/ctrlProps/ctrlProp58.xml><?xml version="1.0" encoding="utf-8"?>
<formControlPr xmlns="http://schemas.microsoft.com/office/spreadsheetml/2009/9/main" objectType="Scroll" dx="22" fmlaLink="$E$42" horiz="1" max="42" min="6" page="0" val="22"/>
</file>

<file path=xl/ctrlProps/ctrlProp59.xml><?xml version="1.0" encoding="utf-8"?>
<formControlPr xmlns="http://schemas.microsoft.com/office/spreadsheetml/2009/9/main" objectType="Scroll" dx="22" fmlaLink="$E$43" horiz="1" max="5" min="1" page="0" val="2"/>
</file>

<file path=xl/ctrlProps/ctrlProp6.xml><?xml version="1.0" encoding="utf-8"?>
<formControlPr xmlns="http://schemas.microsoft.com/office/spreadsheetml/2009/9/main" objectType="Scroll" dx="22" fmlaLink="$E$47" horiz="1" max="5" min="1" page="0"/>
</file>

<file path=xl/ctrlProps/ctrlProp60.xml><?xml version="1.0" encoding="utf-8"?>
<formControlPr xmlns="http://schemas.microsoft.com/office/spreadsheetml/2009/9/main" objectType="Scroll" dx="22" fmlaLink="$E$44" horiz="1" max="5" min="1" page="0"/>
</file>

<file path=xl/ctrlProps/ctrlProp61.xml><?xml version="1.0" encoding="utf-8"?>
<formControlPr xmlns="http://schemas.microsoft.com/office/spreadsheetml/2009/9/main" objectType="Scroll" dx="22" fmlaLink="$E$45" horiz="1" max="5" min="1" page="0" val="2"/>
</file>

<file path=xl/ctrlProps/ctrlProp62.xml><?xml version="1.0" encoding="utf-8"?>
<formControlPr xmlns="http://schemas.microsoft.com/office/spreadsheetml/2009/9/main" objectType="Scroll" dx="22" fmlaLink="$E$47" horiz="1" max="3" page="0" val="0"/>
</file>

<file path=xl/ctrlProps/ctrlProp63.xml><?xml version="1.0" encoding="utf-8"?>
<formControlPr xmlns="http://schemas.microsoft.com/office/spreadsheetml/2009/9/main" objectType="Scroll" dx="22" fmlaLink="$E$48" horiz="1" max="3" page="0" val="0"/>
</file>

<file path=xl/ctrlProps/ctrlProp64.xml><?xml version="1.0" encoding="utf-8"?>
<formControlPr xmlns="http://schemas.microsoft.com/office/spreadsheetml/2009/9/main" objectType="Scroll" dx="22" fmlaLink="$E$49" horiz="1" max="3" page="0" val="0"/>
</file>

<file path=xl/ctrlProps/ctrlProp65.xml><?xml version="1.0" encoding="utf-8"?>
<formControlPr xmlns="http://schemas.microsoft.com/office/spreadsheetml/2009/9/main" objectType="Scroll" dx="22" fmlaLink="$E$42" horiz="1" max="42" min="6" page="0" val="22"/>
</file>

<file path=xl/ctrlProps/ctrlProp66.xml><?xml version="1.0" encoding="utf-8"?>
<formControlPr xmlns="http://schemas.microsoft.com/office/spreadsheetml/2009/9/main" objectType="Scroll" dx="22" fmlaLink="$E$43" horiz="1" max="5" min="1" page="0" val="2"/>
</file>

<file path=xl/ctrlProps/ctrlProp67.xml><?xml version="1.0" encoding="utf-8"?>
<formControlPr xmlns="http://schemas.microsoft.com/office/spreadsheetml/2009/9/main" objectType="Scroll" dx="22" fmlaLink="$E$44" horiz="1" max="5" min="1" page="0"/>
</file>

<file path=xl/ctrlProps/ctrlProp68.xml><?xml version="1.0" encoding="utf-8"?>
<formControlPr xmlns="http://schemas.microsoft.com/office/spreadsheetml/2009/9/main" objectType="Scroll" dx="22" fmlaLink="$E$45" horiz="1" max="5" min="1" page="0" val="2"/>
</file>

<file path=xl/ctrlProps/ctrlProp69.xml><?xml version="1.0" encoding="utf-8"?>
<formControlPr xmlns="http://schemas.microsoft.com/office/spreadsheetml/2009/9/main" objectType="Scroll" dx="22" fmlaLink="$E$47" horiz="1" max="3" page="0" val="0"/>
</file>

<file path=xl/ctrlProps/ctrlProp7.xml><?xml version="1.0" encoding="utf-8"?>
<formControlPr xmlns="http://schemas.microsoft.com/office/spreadsheetml/2009/9/main" objectType="Scroll" dx="22" fmlaLink="$E$48" horiz="1" max="5" min="1" page="0" val="2"/>
</file>

<file path=xl/ctrlProps/ctrlProp70.xml><?xml version="1.0" encoding="utf-8"?>
<formControlPr xmlns="http://schemas.microsoft.com/office/spreadsheetml/2009/9/main" objectType="Scroll" dx="22" fmlaLink="$E$48" horiz="1" max="3" page="0" val="0"/>
</file>

<file path=xl/ctrlProps/ctrlProp71.xml><?xml version="1.0" encoding="utf-8"?>
<formControlPr xmlns="http://schemas.microsoft.com/office/spreadsheetml/2009/9/main" objectType="Scroll" dx="22" fmlaLink="$E$49" horiz="1" max="3" page="0" val="0"/>
</file>

<file path=xl/ctrlProps/ctrlProp72.xml><?xml version="1.0" encoding="utf-8"?>
<formControlPr xmlns="http://schemas.microsoft.com/office/spreadsheetml/2009/9/main" objectType="Scroll" dx="22" fmlaLink="$E$42" horiz="1" max="42" min="6" page="0" val="18"/>
</file>

<file path=xl/ctrlProps/ctrlProp73.xml><?xml version="1.0" encoding="utf-8"?>
<formControlPr xmlns="http://schemas.microsoft.com/office/spreadsheetml/2009/9/main" objectType="Scroll" dx="22" fmlaLink="$E$43" horiz="1" max="5" min="1" page="0" val="2"/>
</file>

<file path=xl/ctrlProps/ctrlProp74.xml><?xml version="1.0" encoding="utf-8"?>
<formControlPr xmlns="http://schemas.microsoft.com/office/spreadsheetml/2009/9/main" objectType="Scroll" dx="22" fmlaLink="$E$44" horiz="1" max="5" min="1" page="0"/>
</file>

<file path=xl/ctrlProps/ctrlProp75.xml><?xml version="1.0" encoding="utf-8"?>
<formControlPr xmlns="http://schemas.microsoft.com/office/spreadsheetml/2009/9/main" objectType="Scroll" dx="22" fmlaLink="$E$45" horiz="1" max="5" min="1" page="0" val="2"/>
</file>

<file path=xl/ctrlProps/ctrlProp76.xml><?xml version="1.0" encoding="utf-8"?>
<formControlPr xmlns="http://schemas.microsoft.com/office/spreadsheetml/2009/9/main" objectType="Scroll" dx="22" fmlaLink="$E$47" horiz="1" max="3" page="0" val="0"/>
</file>

<file path=xl/ctrlProps/ctrlProp77.xml><?xml version="1.0" encoding="utf-8"?>
<formControlPr xmlns="http://schemas.microsoft.com/office/spreadsheetml/2009/9/main" objectType="Scroll" dx="22" fmlaLink="$E$48" horiz="1" max="3" page="0" val="0"/>
</file>

<file path=xl/ctrlProps/ctrlProp78.xml><?xml version="1.0" encoding="utf-8"?>
<formControlPr xmlns="http://schemas.microsoft.com/office/spreadsheetml/2009/9/main" objectType="Scroll" dx="22" fmlaLink="$E$49" horiz="1" max="3" page="0" val="0"/>
</file>

<file path=xl/ctrlProps/ctrlProp79.xml><?xml version="1.0" encoding="utf-8"?>
<formControlPr xmlns="http://schemas.microsoft.com/office/spreadsheetml/2009/9/main" objectType="Scroll" dx="22" fmlaLink="$E$42" horiz="1" max="42" min="6" page="0" val="22"/>
</file>

<file path=xl/ctrlProps/ctrlProp8.xml><?xml version="1.0" encoding="utf-8"?>
<formControlPr xmlns="http://schemas.microsoft.com/office/spreadsheetml/2009/9/main" objectType="Scroll" dx="22" fmlaLink="$E$46" horiz="1" max="5" min="1" page="0" val="2"/>
</file>

<file path=xl/ctrlProps/ctrlProp80.xml><?xml version="1.0" encoding="utf-8"?>
<formControlPr xmlns="http://schemas.microsoft.com/office/spreadsheetml/2009/9/main" objectType="Scroll" dx="22" fmlaLink="$E$43" horiz="1" max="5" min="1" page="0" val="2"/>
</file>

<file path=xl/ctrlProps/ctrlProp81.xml><?xml version="1.0" encoding="utf-8"?>
<formControlPr xmlns="http://schemas.microsoft.com/office/spreadsheetml/2009/9/main" objectType="Scroll" dx="22" fmlaLink="$E$44" horiz="1" max="5" min="1" page="0"/>
</file>

<file path=xl/ctrlProps/ctrlProp82.xml><?xml version="1.0" encoding="utf-8"?>
<formControlPr xmlns="http://schemas.microsoft.com/office/spreadsheetml/2009/9/main" objectType="Scroll" dx="22" fmlaLink="$E$45" horiz="1" max="5" min="1" page="0" val="2"/>
</file>

<file path=xl/ctrlProps/ctrlProp83.xml><?xml version="1.0" encoding="utf-8"?>
<formControlPr xmlns="http://schemas.microsoft.com/office/spreadsheetml/2009/9/main" objectType="Scroll" dx="22" fmlaLink="$E$47" horiz="1" max="3" page="0" val="0"/>
</file>

<file path=xl/ctrlProps/ctrlProp84.xml><?xml version="1.0" encoding="utf-8"?>
<formControlPr xmlns="http://schemas.microsoft.com/office/spreadsheetml/2009/9/main" objectType="Scroll" dx="22" fmlaLink="$E$48" horiz="1" max="3" page="0" val="0"/>
</file>

<file path=xl/ctrlProps/ctrlProp85.xml><?xml version="1.0" encoding="utf-8"?>
<formControlPr xmlns="http://schemas.microsoft.com/office/spreadsheetml/2009/9/main" objectType="Scroll" dx="22" fmlaLink="$E$49" horiz="1" max="3" page="0" val="0"/>
</file>

<file path=xl/ctrlProps/ctrlProp86.xml><?xml version="1.0" encoding="utf-8"?>
<formControlPr xmlns="http://schemas.microsoft.com/office/spreadsheetml/2009/9/main" objectType="Scroll" dx="22" fmlaLink="$E$46" horiz="1" max="42" min="6" page="0" val="30"/>
</file>

<file path=xl/ctrlProps/ctrlProp87.xml><?xml version="1.0" encoding="utf-8"?>
<formControlPr xmlns="http://schemas.microsoft.com/office/spreadsheetml/2009/9/main" objectType="Scroll" dx="22" fmlaLink="$E$47" horiz="1" max="5" min="1" page="0" val="3"/>
</file>

<file path=xl/ctrlProps/ctrlProp88.xml><?xml version="1.0" encoding="utf-8"?>
<formControlPr xmlns="http://schemas.microsoft.com/office/spreadsheetml/2009/9/main" objectType="Scroll" dx="22" fmlaLink="$E$48" horiz="1" max="5" min="1" page="0" val="3"/>
</file>

<file path=xl/ctrlProps/ctrlProp89.xml><?xml version="1.0" encoding="utf-8"?>
<formControlPr xmlns="http://schemas.microsoft.com/office/spreadsheetml/2009/9/main" objectType="Scroll" dx="22" fmlaLink="$E$49" horiz="1" max="5" min="1" page="0" val="3"/>
</file>

<file path=xl/ctrlProps/ctrlProp9.xml><?xml version="1.0" encoding="utf-8"?>
<formControlPr xmlns="http://schemas.microsoft.com/office/spreadsheetml/2009/9/main" objectType="Scroll" dx="22" fmlaLink="$E$46" horiz="1" max="25" min="1" page="0" val="8"/>
</file>

<file path=xl/ctrlProps/ctrlProp90.xml><?xml version="1.0" encoding="utf-8"?>
<formControlPr xmlns="http://schemas.microsoft.com/office/spreadsheetml/2009/9/main" objectType="Scroll" dx="22" fmlaLink="$E$51" horiz="1" max="5" page="0" val="3"/>
</file>

<file path=xl/ctrlProps/ctrlProp91.xml><?xml version="1.0" encoding="utf-8"?>
<formControlPr xmlns="http://schemas.microsoft.com/office/spreadsheetml/2009/9/main" objectType="Scroll" dx="22" fmlaLink="$E$52" horiz="1" max="3" page="0" val="2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49</xdr:row>
          <xdr:rowOff>28575</xdr:rowOff>
        </xdr:from>
        <xdr:to>
          <xdr:col>8</xdr:col>
          <xdr:colOff>1019175</xdr:colOff>
          <xdr:row>49</xdr:row>
          <xdr:rowOff>133350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52</xdr:row>
          <xdr:rowOff>28575</xdr:rowOff>
        </xdr:from>
        <xdr:to>
          <xdr:col>8</xdr:col>
          <xdr:colOff>1019175</xdr:colOff>
          <xdr:row>52</xdr:row>
          <xdr:rowOff>133350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50797</xdr:colOff>
      <xdr:row>39</xdr:row>
      <xdr:rowOff>6346</xdr:rowOff>
    </xdr:from>
    <xdr:to>
      <xdr:col>8</xdr:col>
      <xdr:colOff>708029</xdr:colOff>
      <xdr:row>58</xdr:row>
      <xdr:rowOff>84849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479922" y="5168896"/>
          <a:ext cx="3238507" cy="2755028"/>
          <a:chOff x="4483093" y="4874034"/>
          <a:chExt cx="3178182" cy="2860268"/>
        </a:xfrm>
      </xdr:grpSpPr>
      <xdr:grpSp>
        <xdr:nvGrpSpPr>
          <xdr:cNvPr id="17" name="Gruppieren 1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>
            <a:grpSpLocks/>
          </xdr:cNvGrpSpPr>
        </xdr:nvGrpSpPr>
        <xdr:grpSpPr bwMode="auto">
          <a:xfrm>
            <a:off x="4483093" y="4982730"/>
            <a:ext cx="1285378" cy="2751572"/>
            <a:chOff x="4881355" y="5601539"/>
            <a:chExt cx="697897" cy="2552380"/>
          </a:xfrm>
        </xdr:grpSpPr>
        <xdr:cxnSp macro="">
          <xdr:nvCxnSpPr>
            <xdr:cNvPr id="21" name="Gerade Verbindung 4">
              <a:extLst>
                <a:ext uri="{FF2B5EF4-FFF2-40B4-BE49-F238E27FC236}">
                  <a16:creationId xmlns:a16="http://schemas.microsoft.com/office/drawing/2014/main" id="{00000000-0008-0000-0100-000015000000}"/>
                </a:ext>
              </a:extLst>
            </xdr:cNvPr>
            <xdr:cNvCxnSpPr/>
          </xdr:nvCxnSpPr>
          <xdr:spPr>
            <a:xfrm flipH="1">
              <a:off x="5576505" y="5601539"/>
              <a:ext cx="2538" cy="2552380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Gerade Verbindung mit Pfeil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8" name="Gerader Verbinde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CxnSpPr/>
        </xdr:nvCxnSpPr>
        <xdr:spPr>
          <a:xfrm>
            <a:off x="5766594" y="4977215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Gerader Verbinder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 flipH="1" flipV="1">
            <a:off x="7658894" y="487403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679744</xdr:colOff>
      <xdr:row>43</xdr:row>
      <xdr:rowOff>129884</xdr:rowOff>
    </xdr:from>
    <xdr:to>
      <xdr:col>8</xdr:col>
      <xdr:colOff>394613</xdr:colOff>
      <xdr:row>53</xdr:row>
      <xdr:rowOff>44268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709069" y="5892509"/>
          <a:ext cx="695944" cy="1428859"/>
          <a:chOff x="6693841" y="4488313"/>
          <a:chExt cx="697045" cy="1416530"/>
        </a:xfrm>
      </xdr:grpSpPr>
      <xdr:cxnSp macro="">
        <xdr:nvCxnSpPr>
          <xdr:cNvPr id="3" name="Gerader Verbinder 1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rot="16200000" flipV="1">
            <a:off x="6536266" y="5383896"/>
            <a:ext cx="490436" cy="145917"/>
          </a:xfrm>
          <a:prstGeom prst="bentConnector3">
            <a:avLst>
              <a:gd name="adj1" fmla="val 6570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Gerader Verbinder 1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rot="5400000" flipH="1" flipV="1">
            <a:off x="7057020" y="5377845"/>
            <a:ext cx="498598" cy="166182"/>
          </a:xfrm>
          <a:prstGeom prst="bentConnector3">
            <a:avLst>
              <a:gd name="adj1" fmla="val 6544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Verbinder: gewinkelt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rot="16200000" flipV="1">
            <a:off x="6410450" y="4771704"/>
            <a:ext cx="727377" cy="160596"/>
          </a:xfrm>
          <a:prstGeom prst="bentConnector3">
            <a:avLst>
              <a:gd name="adj1" fmla="val 7328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Verbinder: gewinkelt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5400000" flipH="1" flipV="1">
            <a:off x="6945081" y="4762405"/>
            <a:ext cx="719270" cy="171090"/>
          </a:xfrm>
          <a:prstGeom prst="bentConnector3">
            <a:avLst>
              <a:gd name="adj1" fmla="val 729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Gerader Verbinder 1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5400000">
            <a:off x="6637539" y="5663622"/>
            <a:ext cx="291944" cy="141866"/>
          </a:xfrm>
          <a:prstGeom prst="bentConnector3">
            <a:avLst>
              <a:gd name="adj1" fmla="val 4166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Gerader Verbinder 13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rot="16200000" flipV="1">
            <a:off x="7150214" y="5681864"/>
            <a:ext cx="295993" cy="149966"/>
          </a:xfrm>
          <a:prstGeom prst="bentConnector3">
            <a:avLst>
              <a:gd name="adj1" fmla="val 6643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5400000">
            <a:off x="6694532" y="5144785"/>
            <a:ext cx="172480" cy="144166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Gerader Verbinder 13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CxnSpPr/>
        </xdr:nvCxnSpPr>
        <xdr:spPr>
          <a:xfrm rot="16200000" flipV="1">
            <a:off x="7189132" y="5129672"/>
            <a:ext cx="232017" cy="17149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37889" name="Scroll Bar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A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7890" name="Scroll Bar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A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7891" name="Scroll Bar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A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37892" name="Scroll Bar 4" hidden="1">
              <a:extLst>
                <a:ext uri="{63B3BB69-23CF-44E3-9099-C40C66FF867C}">
                  <a14:compatExt spid="_x0000_s37892"/>
                </a:ext>
                <a:ext uri="{FF2B5EF4-FFF2-40B4-BE49-F238E27FC236}">
                  <a16:creationId xmlns:a16="http://schemas.microsoft.com/office/drawing/2014/main" id="{00000000-0008-0000-0A00-000004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37893" name="Scroll Bar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A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133350</xdr:rowOff>
        </xdr:to>
        <xdr:sp macro="" textlink="">
          <xdr:nvSpPr>
            <xdr:cNvPr id="37894" name="Scroll Bar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A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37895" name="Scroll Bar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A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6350</xdr:colOff>
      <xdr:row>36</xdr:row>
      <xdr:rowOff>5953</xdr:rowOff>
    </xdr:from>
    <xdr:to>
      <xdr:col>8</xdr:col>
      <xdr:colOff>597115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4435475" y="4425553"/>
          <a:ext cx="3172040" cy="2422902"/>
          <a:chOff x="4483093" y="5303997"/>
          <a:chExt cx="2705205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5363306"/>
            <a:ext cx="1285505" cy="2370996"/>
            <a:chOff x="4881355" y="5954564"/>
            <a:chExt cx="697966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CxnSpPr/>
          </xdr:nvCxnSpPr>
          <xdr:spPr>
            <a:xfrm flipH="1">
              <a:off x="5576505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CxnSpPr/>
        </xdr:nvCxnSpPr>
        <xdr:spPr>
          <a:xfrm>
            <a:off x="5766594" y="5358458"/>
            <a:ext cx="1421704" cy="627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696956</xdr:colOff>
      <xdr:row>40</xdr:row>
      <xdr:rowOff>144038</xdr:rowOff>
    </xdr:from>
    <xdr:to>
      <xdr:col>8</xdr:col>
      <xdr:colOff>357777</xdr:colOff>
      <xdr:row>50</xdr:row>
      <xdr:rowOff>11907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6726281" y="5068463"/>
          <a:ext cx="641896" cy="1268044"/>
          <a:chOff x="6713462" y="5956924"/>
          <a:chExt cx="640981" cy="1330545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692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CxnSpPr/>
        </xdr:nvCxnSpPr>
        <xdr:spPr>
          <a:xfrm rot="16200000" flipV="1">
            <a:off x="6639635" y="6040478"/>
            <a:ext cx="289121" cy="141468"/>
          </a:xfrm>
          <a:prstGeom prst="bentConnector3">
            <a:avLst>
              <a:gd name="adj1" fmla="val 3822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694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CxnSpPr/>
        </xdr:nvCxnSpPr>
        <xdr:spPr>
          <a:xfrm rot="5400000" flipH="1" flipV="1">
            <a:off x="7134616" y="6040867"/>
            <a:ext cx="303769" cy="135884"/>
          </a:xfrm>
          <a:prstGeom prst="bentConnector3">
            <a:avLst>
              <a:gd name="adj1" fmla="val 3879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1019175</xdr:colOff>
          <xdr:row>41</xdr:row>
          <xdr:rowOff>133350</xdr:rowOff>
        </xdr:to>
        <xdr:sp macro="" textlink="">
          <xdr:nvSpPr>
            <xdr:cNvPr id="38913" name="Scroll Bar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B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42</xdr:row>
          <xdr:rowOff>28575</xdr:rowOff>
        </xdr:from>
        <xdr:to>
          <xdr:col>8</xdr:col>
          <xdr:colOff>1028700</xdr:colOff>
          <xdr:row>42</xdr:row>
          <xdr:rowOff>133350</xdr:rowOff>
        </xdr:to>
        <xdr:sp macro="" textlink="">
          <xdr:nvSpPr>
            <xdr:cNvPr id="38914" name="Scroll Bar 2" hidden="1">
              <a:extLst>
                <a:ext uri="{63B3BB69-23CF-44E3-9099-C40C66FF867C}">
                  <a14:compatExt spid="_x0000_s38914"/>
                </a:ext>
                <a:ext uri="{FF2B5EF4-FFF2-40B4-BE49-F238E27FC236}">
                  <a16:creationId xmlns:a16="http://schemas.microsoft.com/office/drawing/2014/main" id="{00000000-0008-0000-0B00-00000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1028700</xdr:colOff>
          <xdr:row>43</xdr:row>
          <xdr:rowOff>133350</xdr:rowOff>
        </xdr:to>
        <xdr:sp macro="" textlink="">
          <xdr:nvSpPr>
            <xdr:cNvPr id="38915" name="Scroll Bar 3" hidden="1">
              <a:extLst>
                <a:ext uri="{63B3BB69-23CF-44E3-9099-C40C66FF867C}">
                  <a14:compatExt spid="_x0000_s38915"/>
                </a:ext>
                <a:ext uri="{FF2B5EF4-FFF2-40B4-BE49-F238E27FC236}">
                  <a16:creationId xmlns:a16="http://schemas.microsoft.com/office/drawing/2014/main" id="{00000000-0008-0000-0B00-00000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1028700</xdr:colOff>
          <xdr:row>44</xdr:row>
          <xdr:rowOff>133350</xdr:rowOff>
        </xdr:to>
        <xdr:sp macro="" textlink="">
          <xdr:nvSpPr>
            <xdr:cNvPr id="38916" name="Scroll Bar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B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38917" name="Scroll Bar 5" hidden="1">
              <a:extLst>
                <a:ext uri="{63B3BB69-23CF-44E3-9099-C40C66FF867C}">
                  <a14:compatExt spid="_x0000_s38917"/>
                </a:ext>
                <a:ext uri="{FF2B5EF4-FFF2-40B4-BE49-F238E27FC236}">
                  <a16:creationId xmlns:a16="http://schemas.microsoft.com/office/drawing/2014/main" id="{00000000-0008-0000-0B00-00000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38918" name="Scroll Bar 6" hidden="1">
              <a:extLst>
                <a:ext uri="{63B3BB69-23CF-44E3-9099-C40C66FF867C}">
                  <a14:compatExt spid="_x0000_s38918"/>
                </a:ext>
                <a:ext uri="{FF2B5EF4-FFF2-40B4-BE49-F238E27FC236}">
                  <a16:creationId xmlns:a16="http://schemas.microsoft.com/office/drawing/2014/main" id="{00000000-0008-0000-0B00-00000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38919" name="Scroll Bar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B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6352</xdr:colOff>
      <xdr:row>36</xdr:row>
      <xdr:rowOff>5442</xdr:rowOff>
    </xdr:from>
    <xdr:to>
      <xdr:col>8</xdr:col>
      <xdr:colOff>681404</xdr:colOff>
      <xdr:row>54</xdr:row>
      <xdr:rowOff>95229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4435477" y="4425042"/>
          <a:ext cx="3246802" cy="2423412"/>
          <a:chOff x="4483094" y="5303997"/>
          <a:chExt cx="2705204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4" y="5363306"/>
            <a:ext cx="1090154" cy="2370996"/>
            <a:chOff x="4881355" y="5954564"/>
            <a:chExt cx="591900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B00-000006000000}"/>
                </a:ext>
              </a:extLst>
            </xdr:cNvPr>
            <xdr:cNvCxnSpPr/>
          </xdr:nvCxnSpPr>
          <xdr:spPr>
            <a:xfrm flipH="1">
              <a:off x="5470439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CxnSpPr/>
          </xdr:nvCxnSpPr>
          <xdr:spPr>
            <a:xfrm flipH="1">
              <a:off x="4881355" y="8153918"/>
              <a:ext cx="590433" cy="0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>
          <a:xfrm>
            <a:off x="5576651" y="5364735"/>
            <a:ext cx="1611647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695614</xdr:colOff>
      <xdr:row>40</xdr:row>
      <xdr:rowOff>134216</xdr:rowOff>
    </xdr:from>
    <xdr:to>
      <xdr:col>8</xdr:col>
      <xdr:colOff>340810</xdr:colOff>
      <xdr:row>49</xdr:row>
      <xdr:rowOff>748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6715414" y="5058641"/>
          <a:ext cx="626271" cy="1219082"/>
          <a:chOff x="6712128" y="5930780"/>
          <a:chExt cx="625362" cy="1356689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CxnSpPr/>
        </xdr:nvCxnSpPr>
        <xdr:spPr>
          <a:xfrm rot="16200000" flipV="1">
            <a:off x="6621032" y="6021876"/>
            <a:ext cx="324993" cy="142802"/>
          </a:xfrm>
          <a:prstGeom prst="bentConnector3">
            <a:avLst>
              <a:gd name="adj1" fmla="val 3284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B00-00000B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B00-00000C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3636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41</xdr:row>
          <xdr:rowOff>28575</xdr:rowOff>
        </xdr:from>
        <xdr:to>
          <xdr:col>8</xdr:col>
          <xdr:colOff>1000125</xdr:colOff>
          <xdr:row>41</xdr:row>
          <xdr:rowOff>133350</xdr:rowOff>
        </xdr:to>
        <xdr:sp macro="" textlink="">
          <xdr:nvSpPr>
            <xdr:cNvPr id="39937" name="Scroll Bar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C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28575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9938" name="Scroll Bar 2" hidden="1">
              <a:extLst>
                <a:ext uri="{63B3BB69-23CF-44E3-9099-C40C66FF867C}">
                  <a14:compatExt spid="_x0000_s39938"/>
                </a:ext>
                <a:ext uri="{FF2B5EF4-FFF2-40B4-BE49-F238E27FC236}">
                  <a16:creationId xmlns:a16="http://schemas.microsoft.com/office/drawing/2014/main" id="{00000000-0008-0000-0C00-000002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1000125</xdr:colOff>
          <xdr:row>43</xdr:row>
          <xdr:rowOff>133350</xdr:rowOff>
        </xdr:to>
        <xdr:sp macro="" textlink="">
          <xdr:nvSpPr>
            <xdr:cNvPr id="39939" name="Scroll Bar 3" hidden="1">
              <a:extLst>
                <a:ext uri="{63B3BB69-23CF-44E3-9099-C40C66FF867C}">
                  <a14:compatExt spid="_x0000_s39939"/>
                </a:ext>
                <a:ext uri="{FF2B5EF4-FFF2-40B4-BE49-F238E27FC236}">
                  <a16:creationId xmlns:a16="http://schemas.microsoft.com/office/drawing/2014/main" id="{00000000-0008-0000-0C00-000003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1009650</xdr:colOff>
          <xdr:row>44</xdr:row>
          <xdr:rowOff>133350</xdr:rowOff>
        </xdr:to>
        <xdr:sp macro="" textlink="">
          <xdr:nvSpPr>
            <xdr:cNvPr id="39940" name="Scroll Bar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C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28575</xdr:rowOff>
        </xdr:from>
        <xdr:to>
          <xdr:col>8</xdr:col>
          <xdr:colOff>1009650</xdr:colOff>
          <xdr:row>46</xdr:row>
          <xdr:rowOff>133350</xdr:rowOff>
        </xdr:to>
        <xdr:sp macro="" textlink="">
          <xdr:nvSpPr>
            <xdr:cNvPr id="39941" name="Scroll Bar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C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1000125</xdr:colOff>
          <xdr:row>47</xdr:row>
          <xdr:rowOff>133350</xdr:rowOff>
        </xdr:to>
        <xdr:sp macro="" textlink="">
          <xdr:nvSpPr>
            <xdr:cNvPr id="39942" name="Scroll Bar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C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1009650</xdr:colOff>
          <xdr:row>48</xdr:row>
          <xdr:rowOff>133350</xdr:rowOff>
        </xdr:to>
        <xdr:sp macro="" textlink="">
          <xdr:nvSpPr>
            <xdr:cNvPr id="39943" name="Scroll Bar 7" hidden="1">
              <a:extLst>
                <a:ext uri="{63B3BB69-23CF-44E3-9099-C40C66FF867C}">
                  <a14:compatExt spid="_x0000_s39943"/>
                </a:ext>
                <a:ext uri="{FF2B5EF4-FFF2-40B4-BE49-F238E27FC236}">
                  <a16:creationId xmlns:a16="http://schemas.microsoft.com/office/drawing/2014/main" id="{00000000-0008-0000-0C00-00000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6349</xdr:colOff>
      <xdr:row>35</xdr:row>
      <xdr:rowOff>152400</xdr:rowOff>
    </xdr:from>
    <xdr:to>
      <xdr:col>8</xdr:col>
      <xdr:colOff>768569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/>
      </xdr:nvGrpSpPr>
      <xdr:grpSpPr>
        <a:xfrm>
          <a:off x="4435474" y="4410075"/>
          <a:ext cx="3343495" cy="2438380"/>
          <a:chOff x="4483092" y="5303997"/>
          <a:chExt cx="2705206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2" y="5363306"/>
            <a:ext cx="1078243" cy="2370996"/>
            <a:chOff x="4881355" y="5954564"/>
            <a:chExt cx="585433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C00-000006000000}"/>
                </a:ext>
              </a:extLst>
            </xdr:cNvPr>
            <xdr:cNvCxnSpPr/>
          </xdr:nvCxnSpPr>
          <xdr:spPr>
            <a:xfrm flipH="1">
              <a:off x="5463972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CxnSpPr/>
          </xdr:nvCxnSpPr>
          <xdr:spPr>
            <a:xfrm flipH="1">
              <a:off x="4881355" y="8153918"/>
              <a:ext cx="582957" cy="0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CxnSpPr/>
        </xdr:nvCxnSpPr>
        <xdr:spPr>
          <a:xfrm>
            <a:off x="5556778" y="5364736"/>
            <a:ext cx="163152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695614</xdr:colOff>
      <xdr:row>40</xdr:row>
      <xdr:rowOff>153328</xdr:rowOff>
    </xdr:from>
    <xdr:to>
      <xdr:col>8</xdr:col>
      <xdr:colOff>340810</xdr:colOff>
      <xdr:row>49</xdr:row>
      <xdr:rowOff>747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pSpPr/>
      </xdr:nvGrpSpPr>
      <xdr:grpSpPr>
        <a:xfrm>
          <a:off x="6724939" y="5077753"/>
          <a:ext cx="626271" cy="1199969"/>
          <a:chOff x="6712128" y="5930780"/>
          <a:chExt cx="625362" cy="1356689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CxnSpPr/>
        </xdr:nvCxnSpPr>
        <xdr:spPr>
          <a:xfrm rot="16200000" flipV="1">
            <a:off x="6621032" y="6021876"/>
            <a:ext cx="324993" cy="142802"/>
          </a:xfrm>
          <a:prstGeom prst="bentConnector3">
            <a:avLst>
              <a:gd name="adj1" fmla="val 3998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4372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38100</xdr:rowOff>
        </xdr:from>
        <xdr:to>
          <xdr:col>8</xdr:col>
          <xdr:colOff>1009650</xdr:colOff>
          <xdr:row>41</xdr:row>
          <xdr:rowOff>142875</xdr:rowOff>
        </xdr:to>
        <xdr:sp macro="" textlink="">
          <xdr:nvSpPr>
            <xdr:cNvPr id="40961" name="Scroll Bar 1" hidden="1">
              <a:extLst>
                <a:ext uri="{63B3BB69-23CF-44E3-9099-C40C66FF867C}">
                  <a14:compatExt spid="_x0000_s40961"/>
                </a:ext>
                <a:ext uri="{FF2B5EF4-FFF2-40B4-BE49-F238E27FC236}">
                  <a16:creationId xmlns:a16="http://schemas.microsoft.com/office/drawing/2014/main" id="{00000000-0008-0000-0D00-00000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28575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40962" name="Scroll Bar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D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28575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40963" name="Scroll Bar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D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1009650</xdr:colOff>
          <xdr:row>44</xdr:row>
          <xdr:rowOff>133350</xdr:rowOff>
        </xdr:to>
        <xdr:sp macro="" textlink="">
          <xdr:nvSpPr>
            <xdr:cNvPr id="40964" name="Scroll Bar 4" hidden="1">
              <a:extLst>
                <a:ext uri="{63B3BB69-23CF-44E3-9099-C40C66FF867C}">
                  <a14:compatExt spid="_x0000_s40964"/>
                </a:ext>
                <a:ext uri="{FF2B5EF4-FFF2-40B4-BE49-F238E27FC236}">
                  <a16:creationId xmlns:a16="http://schemas.microsoft.com/office/drawing/2014/main" id="{00000000-0008-0000-0D00-00000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1009650</xdr:colOff>
          <xdr:row>46</xdr:row>
          <xdr:rowOff>133350</xdr:rowOff>
        </xdr:to>
        <xdr:sp macro="" textlink="">
          <xdr:nvSpPr>
            <xdr:cNvPr id="40965" name="Scroll Bar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D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133350</xdr:rowOff>
        </xdr:to>
        <xdr:sp macro="" textlink="">
          <xdr:nvSpPr>
            <xdr:cNvPr id="40966" name="Scroll Bar 6" hidden="1">
              <a:extLst>
                <a:ext uri="{63B3BB69-23CF-44E3-9099-C40C66FF867C}">
                  <a14:compatExt spid="_x0000_s40966"/>
                </a:ext>
                <a:ext uri="{FF2B5EF4-FFF2-40B4-BE49-F238E27FC236}">
                  <a16:creationId xmlns:a16="http://schemas.microsoft.com/office/drawing/2014/main" id="{00000000-0008-0000-0D00-00000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133350</xdr:rowOff>
        </xdr:to>
        <xdr:sp macro="" textlink="">
          <xdr:nvSpPr>
            <xdr:cNvPr id="40967" name="Scroll Bar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D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6349</xdr:colOff>
      <xdr:row>35</xdr:row>
      <xdr:rowOff>152400</xdr:rowOff>
    </xdr:from>
    <xdr:to>
      <xdr:col>8</xdr:col>
      <xdr:colOff>757672</xdr:colOff>
      <xdr:row>54</xdr:row>
      <xdr:rowOff>95230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4435474" y="4410075"/>
          <a:ext cx="3332598" cy="2438380"/>
          <a:chOff x="4483091" y="5303997"/>
          <a:chExt cx="2705207" cy="2430305"/>
        </a:xfrm>
      </xdr:grpSpPr>
      <xdr:grpSp>
        <xdr:nvGrpSpPr>
          <xdr:cNvPr id="3" name="Gruppieren 1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1" y="5363306"/>
            <a:ext cx="1109277" cy="2370996"/>
            <a:chOff x="4881355" y="5954564"/>
            <a:chExt cx="602283" cy="2199355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D00-000006000000}"/>
                </a:ext>
              </a:extLst>
            </xdr:cNvPr>
            <xdr:cNvCxnSpPr/>
          </xdr:nvCxnSpPr>
          <xdr:spPr>
            <a:xfrm flipH="1">
              <a:off x="5480822" y="5954564"/>
              <a:ext cx="2816" cy="2199355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CxnSpPr/>
          </xdr:nvCxnSpPr>
          <xdr:spPr>
            <a:xfrm flipH="1">
              <a:off x="4881355" y="8153918"/>
              <a:ext cx="601907" cy="0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CxnSpPr/>
        </xdr:nvCxnSpPr>
        <xdr:spPr>
          <a:xfrm>
            <a:off x="5598727" y="5364737"/>
            <a:ext cx="1589571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CxnSpPr/>
        </xdr:nvCxnSpPr>
        <xdr:spPr>
          <a:xfrm flipH="1" flipV="1">
            <a:off x="7186552" y="5303997"/>
            <a:ext cx="702" cy="5691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695614</xdr:colOff>
      <xdr:row>40</xdr:row>
      <xdr:rowOff>150395</xdr:rowOff>
    </xdr:from>
    <xdr:to>
      <xdr:col>8</xdr:col>
      <xdr:colOff>340810</xdr:colOff>
      <xdr:row>49</xdr:row>
      <xdr:rowOff>748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6724939" y="5074820"/>
          <a:ext cx="626271" cy="1202903"/>
          <a:chOff x="6712128" y="5930780"/>
          <a:chExt cx="625362" cy="1356689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CxnSpPr/>
        </xdr:nvCxnSpPr>
        <xdr:spPr>
          <a:xfrm rot="16200000" flipV="1">
            <a:off x="6753804" y="6719463"/>
            <a:ext cx="1031695" cy="104318"/>
          </a:xfrm>
          <a:prstGeom prst="bentConnector3">
            <a:avLst>
              <a:gd name="adj1" fmla="val 5268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CxnSpPr/>
        </xdr:nvCxnSpPr>
        <xdr:spPr>
          <a:xfrm rot="16200000" flipV="1">
            <a:off x="6621032" y="6021876"/>
            <a:ext cx="324993" cy="142802"/>
          </a:xfrm>
          <a:prstGeom prst="bentConnector3">
            <a:avLst>
              <a:gd name="adj1" fmla="val 3829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Gerader Verbinder 13">
            <a:extLst>
              <a:ext uri="{FF2B5EF4-FFF2-40B4-BE49-F238E27FC236}">
                <a16:creationId xmlns:a16="http://schemas.microsoft.com/office/drawing/2014/main" id="{00000000-0008-0000-0D00-00000B000000}"/>
              </a:ext>
            </a:extLst>
          </xdr:cNvPr>
          <xdr:cNvCxnSpPr/>
        </xdr:nvCxnSpPr>
        <xdr:spPr>
          <a:xfrm rot="5400000" flipH="1" flipV="1">
            <a:off x="6282238" y="6707408"/>
            <a:ext cx="1033544" cy="111840"/>
          </a:xfrm>
          <a:prstGeom prst="bentConnector3">
            <a:avLst>
              <a:gd name="adj1" fmla="val 5208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Verbinder: gewinkelt 11">
            <a:extLst>
              <a:ext uri="{FF2B5EF4-FFF2-40B4-BE49-F238E27FC236}">
                <a16:creationId xmlns:a16="http://schemas.microsoft.com/office/drawing/2014/main" id="{00000000-0008-0000-0D00-00000C000000}"/>
              </a:ext>
            </a:extLst>
          </xdr:cNvPr>
          <xdr:cNvCxnSpPr/>
        </xdr:nvCxnSpPr>
        <xdr:spPr>
          <a:xfrm rot="5400000" flipH="1" flipV="1">
            <a:off x="7117862" y="6041065"/>
            <a:ext cx="320324" cy="118932"/>
          </a:xfrm>
          <a:prstGeom prst="bentConnector3">
            <a:avLst>
              <a:gd name="adj1" fmla="val 4215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41985" name="Scroll Bar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E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46</xdr:row>
          <xdr:rowOff>28575</xdr:rowOff>
        </xdr:from>
        <xdr:to>
          <xdr:col>8</xdr:col>
          <xdr:colOff>1019175</xdr:colOff>
          <xdr:row>46</xdr:row>
          <xdr:rowOff>133350</xdr:rowOff>
        </xdr:to>
        <xdr:sp macro="" textlink="">
          <xdr:nvSpPr>
            <xdr:cNvPr id="41986" name="Scroll Bar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E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41987" name="Scroll Bar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0000000-0008-0000-0E00-00000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41988" name="Scroll Bar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00000000-0008-0000-0E00-00000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41989" name="Scroll Bar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00000000-0008-0000-0E00-00000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51</xdr:row>
          <xdr:rowOff>28575</xdr:rowOff>
        </xdr:from>
        <xdr:to>
          <xdr:col>8</xdr:col>
          <xdr:colOff>1019175</xdr:colOff>
          <xdr:row>51</xdr:row>
          <xdr:rowOff>133350</xdr:rowOff>
        </xdr:to>
        <xdr:sp macro="" textlink="">
          <xdr:nvSpPr>
            <xdr:cNvPr id="41990" name="Scroll Bar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00000000-0008-0000-0E00-00000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45983</xdr:colOff>
      <xdr:row>39</xdr:row>
      <xdr:rowOff>151627</xdr:rowOff>
    </xdr:from>
    <xdr:to>
      <xdr:col>8</xdr:col>
      <xdr:colOff>649131</xdr:colOff>
      <xdr:row>57</xdr:row>
      <xdr:rowOff>77767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4475108" y="5276077"/>
          <a:ext cx="3184423" cy="2478840"/>
          <a:chOff x="4483093" y="4890954"/>
          <a:chExt cx="3178182" cy="2843347"/>
        </a:xfrm>
      </xdr:grpSpPr>
      <xdr:grpSp>
        <xdr:nvGrpSpPr>
          <xdr:cNvPr id="3" name="Gruppieren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GrpSpPr>
            <a:grpSpLocks/>
          </xdr:cNvGrpSpPr>
        </xdr:nvGrpSpPr>
        <xdr:grpSpPr bwMode="auto">
          <a:xfrm>
            <a:off x="4483093" y="4998289"/>
            <a:ext cx="1285378" cy="2736012"/>
            <a:chOff x="4881355" y="5615972"/>
            <a:chExt cx="697897" cy="2537947"/>
          </a:xfrm>
        </xdr:grpSpPr>
        <xdr:cxnSp macro="">
          <xdr:nvCxnSpPr>
            <xdr:cNvPr id="6" name="Gerade Verbindung 4">
              <a:extLst>
                <a:ext uri="{FF2B5EF4-FFF2-40B4-BE49-F238E27FC236}">
                  <a16:creationId xmlns:a16="http://schemas.microsoft.com/office/drawing/2014/main" id="{00000000-0008-0000-0E00-000006000000}"/>
                </a:ext>
              </a:extLst>
            </xdr:cNvPr>
            <xdr:cNvCxnSpPr/>
          </xdr:nvCxnSpPr>
          <xdr:spPr>
            <a:xfrm flipH="1">
              <a:off x="5576505" y="5615972"/>
              <a:ext cx="1291" cy="253794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" name="Gerade Verbindung mit Pfeil 6">
              <a:extLst>
                <a:ext uri="{FF2B5EF4-FFF2-40B4-BE49-F238E27FC236}">
                  <a16:creationId xmlns:a16="http://schemas.microsoft.com/office/drawing/2014/main" id="{00000000-0008-0000-0E00-000007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Gerader Verbinder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CxnSpPr/>
        </xdr:nvCxnSpPr>
        <xdr:spPr>
          <a:xfrm>
            <a:off x="5766594" y="4994194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CxnSpPr/>
        </xdr:nvCxnSpPr>
        <xdr:spPr>
          <a:xfrm flipH="1" flipV="1">
            <a:off x="7658894" y="4890954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703497</xdr:colOff>
      <xdr:row>44</xdr:row>
      <xdr:rowOff>150391</xdr:rowOff>
    </xdr:from>
    <xdr:to>
      <xdr:col>8</xdr:col>
      <xdr:colOff>337937</xdr:colOff>
      <xdr:row>52</xdr:row>
      <xdr:rowOff>3</xdr:rowOff>
    </xdr:to>
    <xdr:grpSp>
      <xdr:nvGrpSpPr>
        <xdr:cNvPr id="42012" name="Gruppieren 42011">
          <a:extLst>
            <a:ext uri="{FF2B5EF4-FFF2-40B4-BE49-F238E27FC236}">
              <a16:creationId xmlns:a16="http://schemas.microsoft.com/office/drawing/2014/main" id="{00000000-0008-0000-0E00-00001CA40000}"/>
            </a:ext>
          </a:extLst>
        </xdr:cNvPr>
        <xdr:cNvGrpSpPr/>
      </xdr:nvGrpSpPr>
      <xdr:grpSpPr>
        <a:xfrm>
          <a:off x="6732822" y="6036841"/>
          <a:ext cx="615515" cy="1040237"/>
          <a:chOff x="6731900" y="6077399"/>
          <a:chExt cx="614593" cy="1047919"/>
        </a:xfrm>
      </xdr:grpSpPr>
      <xdr:grpSp>
        <xdr:nvGrpSpPr>
          <xdr:cNvPr id="41993" name="Gruppieren 41992">
            <a:extLst>
              <a:ext uri="{FF2B5EF4-FFF2-40B4-BE49-F238E27FC236}">
                <a16:creationId xmlns:a16="http://schemas.microsoft.com/office/drawing/2014/main" id="{00000000-0008-0000-0E00-000009A40000}"/>
              </a:ext>
            </a:extLst>
          </xdr:cNvPr>
          <xdr:cNvGrpSpPr/>
        </xdr:nvGrpSpPr>
        <xdr:grpSpPr>
          <a:xfrm>
            <a:off x="6731900" y="6077399"/>
            <a:ext cx="614593" cy="869705"/>
            <a:chOff x="7147998" y="5852627"/>
            <a:chExt cx="684217" cy="1013613"/>
          </a:xfrm>
        </xdr:grpSpPr>
        <xdr:cxnSp macro="">
          <xdr:nvCxnSpPr>
            <xdr:cNvPr id="10" name="Verbinder: gewinkelt 9">
              <a:extLst>
                <a:ext uri="{FF2B5EF4-FFF2-40B4-BE49-F238E27FC236}">
                  <a16:creationId xmlns:a16="http://schemas.microsoft.com/office/drawing/2014/main" id="{00000000-0008-0000-0E00-00000A000000}"/>
                </a:ext>
              </a:extLst>
            </xdr:cNvPr>
            <xdr:cNvCxnSpPr/>
          </xdr:nvCxnSpPr>
          <xdr:spPr>
            <a:xfrm rot="16200000" flipV="1">
              <a:off x="6836941" y="6165736"/>
              <a:ext cx="763018" cy="140904"/>
            </a:xfrm>
            <a:prstGeom prst="bentConnector3">
              <a:avLst>
                <a:gd name="adj1" fmla="val 73247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Verbinder: gewinkelt 10">
              <a:extLst>
                <a:ext uri="{FF2B5EF4-FFF2-40B4-BE49-F238E27FC236}">
                  <a16:creationId xmlns:a16="http://schemas.microsoft.com/office/drawing/2014/main" id="{00000000-0008-0000-0E00-00000B000000}"/>
                </a:ext>
              </a:extLst>
            </xdr:cNvPr>
            <xdr:cNvCxnSpPr/>
          </xdr:nvCxnSpPr>
          <xdr:spPr>
            <a:xfrm rot="5400000" flipH="1" flipV="1">
              <a:off x="7400741" y="6148214"/>
              <a:ext cx="727061" cy="135887"/>
            </a:xfrm>
            <a:prstGeom prst="bentConnector3">
              <a:avLst>
                <a:gd name="adj1" fmla="val 72073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grpSp>
          <xdr:nvGrpSpPr>
            <xdr:cNvPr id="25" name="Gruppieren 24">
              <a:extLst>
                <a:ext uri="{FF2B5EF4-FFF2-40B4-BE49-F238E27FC236}">
                  <a16:creationId xmlns:a16="http://schemas.microsoft.com/office/drawing/2014/main" id="{00000000-0008-0000-0E00-000019000000}"/>
                </a:ext>
              </a:extLst>
            </xdr:cNvPr>
            <xdr:cNvGrpSpPr/>
          </xdr:nvGrpSpPr>
          <xdr:grpSpPr>
            <a:xfrm>
              <a:off x="7185763" y="6478331"/>
              <a:ext cx="636244" cy="387909"/>
              <a:chOff x="7185763" y="6478331"/>
              <a:chExt cx="636244" cy="387909"/>
            </a:xfrm>
          </xdr:grpSpPr>
          <xdr:cxnSp macro="">
            <xdr:nvCxnSpPr>
              <xdr:cNvPr id="9" name="Gerader Verbinder 13">
                <a:extLst>
                  <a:ext uri="{FF2B5EF4-FFF2-40B4-BE49-F238E27FC236}">
                    <a16:creationId xmlns:a16="http://schemas.microsoft.com/office/drawing/2014/main" id="{00000000-0008-0000-0E00-000009000000}"/>
                  </a:ext>
                </a:extLst>
              </xdr:cNvPr>
              <xdr:cNvCxnSpPr/>
            </xdr:nvCxnSpPr>
            <xdr:spPr>
              <a:xfrm rot="5400000" flipH="1" flipV="1">
                <a:off x="7092857" y="6636175"/>
                <a:ext cx="290742" cy="104930"/>
              </a:xfrm>
              <a:prstGeom prst="bentConnector3">
                <a:avLst>
                  <a:gd name="adj1" fmla="val 50000"/>
                </a:avLst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2" name="Gerader Verbinder 13">
                <a:extLst>
                  <a:ext uri="{FF2B5EF4-FFF2-40B4-BE49-F238E27FC236}">
                    <a16:creationId xmlns:a16="http://schemas.microsoft.com/office/drawing/2014/main" id="{00000000-0008-0000-0E00-00000C000000}"/>
                  </a:ext>
                </a:extLst>
              </xdr:cNvPr>
              <xdr:cNvCxnSpPr/>
            </xdr:nvCxnSpPr>
            <xdr:spPr>
              <a:xfrm rot="16200000" flipV="1">
                <a:off x="7565214" y="6609448"/>
                <a:ext cx="387909" cy="125676"/>
              </a:xfrm>
              <a:prstGeom prst="bentConnector3">
                <a:avLst>
                  <a:gd name="adj1" fmla="val 47230"/>
                </a:avLst>
              </a:prstGeom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41984" name="Verbinder: gewinkelt 41983">
            <a:extLst>
              <a:ext uri="{FF2B5EF4-FFF2-40B4-BE49-F238E27FC236}">
                <a16:creationId xmlns:a16="http://schemas.microsoft.com/office/drawing/2014/main" id="{00000000-0008-0000-0E00-000000A40000}"/>
              </a:ext>
            </a:extLst>
          </xdr:cNvPr>
          <xdr:cNvCxnSpPr/>
        </xdr:nvCxnSpPr>
        <xdr:spPr>
          <a:xfrm rot="16200000" flipV="1">
            <a:off x="6712435" y="6967459"/>
            <a:ext cx="204525" cy="98896"/>
          </a:xfrm>
          <a:prstGeom prst="bentConnector3">
            <a:avLst>
              <a:gd name="adj1" fmla="val 7253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1991" name="Verbinder: gewinkelt 41990">
            <a:extLst>
              <a:ext uri="{FF2B5EF4-FFF2-40B4-BE49-F238E27FC236}">
                <a16:creationId xmlns:a16="http://schemas.microsoft.com/office/drawing/2014/main" id="{00000000-0008-0000-0E00-000007A40000}"/>
              </a:ext>
            </a:extLst>
          </xdr:cNvPr>
          <xdr:cNvCxnSpPr/>
        </xdr:nvCxnSpPr>
        <xdr:spPr>
          <a:xfrm rot="5400000" flipH="1" flipV="1">
            <a:off x="7129925" y="6917921"/>
            <a:ext cx="301113" cy="113681"/>
          </a:xfrm>
          <a:prstGeom prst="bentConnector3">
            <a:avLst>
              <a:gd name="adj1" fmla="val 5306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131445</xdr:colOff>
      <xdr:row>64</xdr:row>
      <xdr:rowOff>19050</xdr:rowOff>
    </xdr:from>
    <xdr:to>
      <xdr:col>8</xdr:col>
      <xdr:colOff>231775</xdr:colOff>
      <xdr:row>70</xdr:row>
      <xdr:rowOff>133350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5608320" y="8572500"/>
          <a:ext cx="1633855" cy="1085850"/>
          <a:chOff x="9837796" y="7172176"/>
          <a:chExt cx="1219418" cy="1050028"/>
        </a:xfrm>
      </xdr:grpSpPr>
      <xdr:sp macro="" textlink="">
        <xdr:nvSpPr>
          <xdr:cNvPr id="3" name="Geschweifte Klammer links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 bwMode="auto">
          <a:xfrm flipH="1" flipV="1">
            <a:off x="9837796" y="7172176"/>
            <a:ext cx="114320" cy="1050028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4" name="Textfeld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 bwMode="auto">
          <a:xfrm>
            <a:off x="9942590" y="7540607"/>
            <a:ext cx="1114624" cy="3960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Planungs-</a:t>
            </a:r>
            <a:b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6</xdr:col>
      <xdr:colOff>121920</xdr:colOff>
      <xdr:row>71</xdr:row>
      <xdr:rowOff>19050</xdr:rowOff>
    </xdr:from>
    <xdr:to>
      <xdr:col>8</xdr:col>
      <xdr:colOff>431800</xdr:colOff>
      <xdr:row>73</xdr:row>
      <xdr:rowOff>142875</xdr:rowOff>
    </xdr:to>
    <xdr:grpSp>
      <xdr:nvGrpSpPr>
        <xdr:cNvPr id="5" name="Gruppieren 10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>
          <a:grpSpLocks/>
        </xdr:cNvGrpSpPr>
      </xdr:nvGrpSpPr>
      <xdr:grpSpPr bwMode="auto">
        <a:xfrm>
          <a:off x="5598795" y="9705975"/>
          <a:ext cx="1843405" cy="447675"/>
          <a:chOff x="9827458" y="7354629"/>
          <a:chExt cx="1229756" cy="773336"/>
        </a:xfrm>
      </xdr:grpSpPr>
      <xdr:sp macro="" textlink="">
        <xdr:nvSpPr>
          <xdr:cNvPr id="6" name="Geschweifte Klammer links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 bwMode="auto">
          <a:xfrm flipH="1" flipV="1">
            <a:off x="9827458" y="7371083"/>
            <a:ext cx="122976" cy="756882"/>
          </a:xfrm>
          <a:prstGeom prst="leftBrace">
            <a:avLst/>
          </a:prstGeom>
          <a:ln>
            <a:solidFill>
              <a:schemeClr val="bg1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de-AT"/>
          </a:p>
        </xdr:txBody>
      </xdr:sp>
      <xdr:sp macro="" textlink="">
        <xdr:nvSpPr>
          <xdr:cNvPr id="7" name="Textfeld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 bwMode="auto">
          <a:xfrm>
            <a:off x="9942235" y="7354629"/>
            <a:ext cx="1114979" cy="7733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Baustellen-</a:t>
            </a:r>
          </a:p>
          <a:p>
            <a:r>
              <a:rPr lang="de-DE" sz="800">
                <a:solidFill>
                  <a:schemeClr val="bg1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koordination</a:t>
            </a:r>
          </a:p>
        </xdr:txBody>
      </xdr:sp>
    </xdr:grpSp>
    <xdr:clientData/>
  </xdr:twoCellAnchor>
  <xdr:twoCellAnchor>
    <xdr:from>
      <xdr:col>5</xdr:col>
      <xdr:colOff>50800</xdr:colOff>
      <xdr:row>40</xdr:row>
      <xdr:rowOff>0</xdr:rowOff>
    </xdr:from>
    <xdr:to>
      <xdr:col>8</xdr:col>
      <xdr:colOff>650882</xdr:colOff>
      <xdr:row>54</xdr:row>
      <xdr:rowOff>92872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4479925" y="5286375"/>
          <a:ext cx="3181357" cy="2102647"/>
          <a:chOff x="4483093" y="4726781"/>
          <a:chExt cx="3178182" cy="2137572"/>
        </a:xfrm>
      </xdr:grpSpPr>
      <xdr:grpSp>
        <xdr:nvGrpSpPr>
          <xdr:cNvPr id="9" name="Gruppieren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>
            <a:grpSpLocks/>
          </xdr:cNvGrpSpPr>
        </xdr:nvGrpSpPr>
        <xdr:grpSpPr bwMode="auto">
          <a:xfrm>
            <a:off x="4483093" y="4826272"/>
            <a:ext cx="1285378" cy="2038081"/>
            <a:chOff x="4881355" y="5456406"/>
            <a:chExt cx="697897" cy="1890540"/>
          </a:xfrm>
        </xdr:grpSpPr>
        <xdr:cxnSp macro="">
          <xdr:nvCxnSpPr>
            <xdr:cNvPr id="12" name="Gerade Verbindung 4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CxnSpPr/>
          </xdr:nvCxnSpPr>
          <xdr:spPr>
            <a:xfrm flipH="1">
              <a:off x="5579191" y="5456406"/>
              <a:ext cx="4" cy="1886046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" name="Gerade Verbindung mit Pfeil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>
            <a:off x="5766594" y="48299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Gerader Verbinder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CxnSpPr/>
        </xdr:nvCxnSpPr>
        <xdr:spPr>
          <a:xfrm flipH="1" flipV="1">
            <a:off x="7658894" y="47267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17409" name="Scroll Bar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7410" name="Scroll Bar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2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7411" name="Scroll Bar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2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28575</xdr:rowOff>
        </xdr:from>
        <xdr:to>
          <xdr:col>8</xdr:col>
          <xdr:colOff>1028700</xdr:colOff>
          <xdr:row>48</xdr:row>
          <xdr:rowOff>133350</xdr:rowOff>
        </xdr:to>
        <xdr:sp macro="" textlink="">
          <xdr:nvSpPr>
            <xdr:cNvPr id="17412" name="Scroll Bar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2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689609</xdr:colOff>
      <xdr:row>44</xdr:row>
      <xdr:rowOff>152395</xdr:rowOff>
    </xdr:from>
    <xdr:to>
      <xdr:col>8</xdr:col>
      <xdr:colOff>354334</xdr:colOff>
      <xdr:row>49</xdr:row>
      <xdr:rowOff>1263</xdr:rowOff>
    </xdr:to>
    <xdr:grpSp>
      <xdr:nvGrpSpPr>
        <xdr:cNvPr id="16" name="Gruppier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6718934" y="6038845"/>
          <a:ext cx="645800" cy="658493"/>
          <a:chOff x="7020685" y="5883440"/>
          <a:chExt cx="696419" cy="639651"/>
        </a:xfrm>
      </xdr:grpSpPr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rot="16200000" flipV="1">
            <a:off x="6774923" y="6129202"/>
            <a:ext cx="639651" cy="148128"/>
          </a:xfrm>
          <a:prstGeom prst="bentConnector3">
            <a:avLst>
              <a:gd name="adj1" fmla="val 7224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Verbinder: gewinkelt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CxnSpPr/>
        </xdr:nvCxnSpPr>
        <xdr:spPr>
          <a:xfrm rot="5400000" flipH="1" flipV="1">
            <a:off x="7329014" y="6132261"/>
            <a:ext cx="636907" cy="139272"/>
          </a:xfrm>
          <a:prstGeom prst="bentConnector3">
            <a:avLst>
              <a:gd name="adj1" fmla="val 7233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980216</xdr:colOff>
      <xdr:row>9</xdr:row>
      <xdr:rowOff>15565</xdr:rowOff>
    </xdr:from>
    <xdr:to>
      <xdr:col>5</xdr:col>
      <xdr:colOff>237999</xdr:colOff>
      <xdr:row>20</xdr:row>
      <xdr:rowOff>0</xdr:rowOff>
    </xdr:to>
    <xdr:grpSp>
      <xdr:nvGrpSpPr>
        <xdr:cNvPr id="2" name="Gruppieren 1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4837841" y="1091890"/>
          <a:ext cx="238858" cy="1489385"/>
          <a:chOff x="5416825" y="1956764"/>
          <a:chExt cx="653661" cy="1512612"/>
        </a:xfrm>
      </xdr:grpSpPr>
      <xdr:cxnSp macro="">
        <xdr:nvCxnSpPr>
          <xdr:cNvPr id="3" name="Gewinkelte Verbindung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CxnSpPr/>
        </xdr:nvCxnSpPr>
        <xdr:spPr bwMode="auto">
          <a:xfrm>
            <a:off x="5469118" y="1956764"/>
            <a:ext cx="601368" cy="635435"/>
          </a:xfrm>
          <a:prstGeom prst="bentConnector3">
            <a:avLst>
              <a:gd name="adj1" fmla="val 48759"/>
            </a:avLst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  <xdr:cxnSp macro="">
        <xdr:nvCxnSpPr>
          <xdr:cNvPr id="4" name="Gewinkelte Verbindung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CxnSpPr/>
        </xdr:nvCxnSpPr>
        <xdr:spPr bwMode="auto">
          <a:xfrm flipV="1">
            <a:off x="5416825" y="2599106"/>
            <a:ext cx="653661" cy="870270"/>
          </a:xfrm>
          <a:prstGeom prst="bentConnector3">
            <a:avLst/>
          </a:prstGeom>
          <a:ln w="9525">
            <a:solidFill>
              <a:schemeClr val="bg1">
                <a:lumMod val="65000"/>
              </a:schemeClr>
            </a:solidFill>
            <a:tailEnd type="arrow"/>
          </a:ln>
          <a:effectLst/>
        </xdr:spPr>
        <xdr:style>
          <a:lnRef idx="3">
            <a:schemeClr val="accent3"/>
          </a:lnRef>
          <a:fillRef idx="0">
            <a:schemeClr val="accent3"/>
          </a:fillRef>
          <a:effectRef idx="2">
            <a:schemeClr val="accent3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19050</xdr:rowOff>
        </xdr:from>
        <xdr:to>
          <xdr:col>8</xdr:col>
          <xdr:colOff>1019175</xdr:colOff>
          <xdr:row>44</xdr:row>
          <xdr:rowOff>123825</xdr:rowOff>
        </xdr:to>
        <xdr:sp macro="" textlink="">
          <xdr:nvSpPr>
            <xdr:cNvPr id="26625" name="Scroll Bar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19050</xdr:rowOff>
        </xdr:from>
        <xdr:to>
          <xdr:col>8</xdr:col>
          <xdr:colOff>1019175</xdr:colOff>
          <xdr:row>46</xdr:row>
          <xdr:rowOff>123825</xdr:rowOff>
        </xdr:to>
        <xdr:sp macro="" textlink="">
          <xdr:nvSpPr>
            <xdr:cNvPr id="26626" name="Scroll Bar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26627" name="Scroll Bar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19050</xdr:rowOff>
        </xdr:from>
        <xdr:to>
          <xdr:col>8</xdr:col>
          <xdr:colOff>1019175</xdr:colOff>
          <xdr:row>47</xdr:row>
          <xdr:rowOff>123825</xdr:rowOff>
        </xdr:to>
        <xdr:sp macro="" textlink="">
          <xdr:nvSpPr>
            <xdr:cNvPr id="26628" name="Scroll Bar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49</xdr:row>
          <xdr:rowOff>19050</xdr:rowOff>
        </xdr:from>
        <xdr:to>
          <xdr:col>8</xdr:col>
          <xdr:colOff>1019175</xdr:colOff>
          <xdr:row>49</xdr:row>
          <xdr:rowOff>123825</xdr:rowOff>
        </xdr:to>
        <xdr:sp macro="" textlink="">
          <xdr:nvSpPr>
            <xdr:cNvPr id="26629" name="Scroll Bar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3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8</xdr:col>
          <xdr:colOff>1019175</xdr:colOff>
          <xdr:row>50</xdr:row>
          <xdr:rowOff>123825</xdr:rowOff>
        </xdr:to>
        <xdr:sp macro="" textlink="">
          <xdr:nvSpPr>
            <xdr:cNvPr id="26630" name="Scroll Bar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id="{00000000-0008-0000-0300-000006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51</xdr:row>
          <xdr:rowOff>19050</xdr:rowOff>
        </xdr:from>
        <xdr:to>
          <xdr:col>8</xdr:col>
          <xdr:colOff>1019175</xdr:colOff>
          <xdr:row>51</xdr:row>
          <xdr:rowOff>123825</xdr:rowOff>
        </xdr:to>
        <xdr:sp macro="" textlink="">
          <xdr:nvSpPr>
            <xdr:cNvPr id="26631" name="Scroll Bar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3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52</xdr:row>
          <xdr:rowOff>19050</xdr:rowOff>
        </xdr:from>
        <xdr:to>
          <xdr:col>8</xdr:col>
          <xdr:colOff>1019175</xdr:colOff>
          <xdr:row>52</xdr:row>
          <xdr:rowOff>123825</xdr:rowOff>
        </xdr:to>
        <xdr:sp macro="" textlink="">
          <xdr:nvSpPr>
            <xdr:cNvPr id="26633" name="Scroll Bar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id="{00000000-0008-0000-0300-000009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85397</xdr:colOff>
      <xdr:row>39</xdr:row>
      <xdr:rowOff>37421</xdr:rowOff>
    </xdr:from>
    <xdr:to>
      <xdr:col>8</xdr:col>
      <xdr:colOff>671090</xdr:colOff>
      <xdr:row>58</xdr:row>
      <xdr:rowOff>85399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4924097" y="4685621"/>
          <a:ext cx="2747868" cy="2429228"/>
          <a:chOff x="4483093" y="4732419"/>
          <a:chExt cx="3184956" cy="3001885"/>
        </a:xfrm>
      </xdr:grpSpPr>
      <xdr:grpSp>
        <xdr:nvGrpSpPr>
          <xdr:cNvPr id="6" name="Gruppieren 1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GrpSpPr>
            <a:grpSpLocks/>
          </xdr:cNvGrpSpPr>
        </xdr:nvGrpSpPr>
        <xdr:grpSpPr bwMode="auto">
          <a:xfrm>
            <a:off x="4483093" y="4795296"/>
            <a:ext cx="1285378" cy="2939008"/>
            <a:chOff x="4881355" y="5427672"/>
            <a:chExt cx="697897" cy="2726247"/>
          </a:xfrm>
        </xdr:grpSpPr>
        <xdr:cxnSp macro="">
          <xdr:nvCxnSpPr>
            <xdr:cNvPr id="9" name="Gerade Verbindung 4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:cNvPr>
            <xdr:cNvCxnSpPr/>
          </xdr:nvCxnSpPr>
          <xdr:spPr>
            <a:xfrm>
              <a:off x="5576505" y="5427672"/>
              <a:ext cx="0" cy="2726247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" name="Gerade Verbindung mit Pfeil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CxnSpPr/>
        </xdr:nvCxnSpPr>
        <xdr:spPr>
          <a:xfrm>
            <a:off x="5766757" y="4802948"/>
            <a:ext cx="1901292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CxnSpPr/>
        </xdr:nvCxnSpPr>
        <xdr:spPr>
          <a:xfrm flipV="1">
            <a:off x="7658894" y="4732419"/>
            <a:ext cx="0" cy="64637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670023</xdr:colOff>
      <xdr:row>43</xdr:row>
      <xdr:rowOff>121606</xdr:rowOff>
    </xdr:from>
    <xdr:to>
      <xdr:col>8</xdr:col>
      <xdr:colOff>388923</xdr:colOff>
      <xdr:row>54</xdr:row>
      <xdr:rowOff>6147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6889848" y="5265106"/>
          <a:ext cx="499950" cy="1322816"/>
          <a:chOff x="6693841" y="4488313"/>
          <a:chExt cx="697045" cy="1416530"/>
        </a:xfrm>
      </xdr:grpSpPr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CxnSpPr/>
        </xdr:nvCxnSpPr>
        <xdr:spPr>
          <a:xfrm rot="16200000" flipV="1">
            <a:off x="6536266" y="5383896"/>
            <a:ext cx="490436" cy="145917"/>
          </a:xfrm>
          <a:prstGeom prst="bentConnector3">
            <a:avLst>
              <a:gd name="adj1" fmla="val 5748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Gerader Verbinder 13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CxnSpPr/>
        </xdr:nvCxnSpPr>
        <xdr:spPr>
          <a:xfrm rot="5400000" flipH="1" flipV="1">
            <a:off x="7057020" y="5377845"/>
            <a:ext cx="498598" cy="166182"/>
          </a:xfrm>
          <a:prstGeom prst="bentConnector3">
            <a:avLst>
              <a:gd name="adj1" fmla="val 5979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2" name="Verbinder: gewinkelt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CxnSpPr/>
        </xdr:nvCxnSpPr>
        <xdr:spPr>
          <a:xfrm rot="16200000" flipV="1">
            <a:off x="6410450" y="4771704"/>
            <a:ext cx="727377" cy="160596"/>
          </a:xfrm>
          <a:prstGeom prst="bentConnector3">
            <a:avLst>
              <a:gd name="adj1" fmla="val 73282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3" name="Verbinder: gewinkelt 22"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CxnSpPr/>
        </xdr:nvCxnSpPr>
        <xdr:spPr>
          <a:xfrm rot="5400000" flipH="1" flipV="1">
            <a:off x="6945081" y="4762405"/>
            <a:ext cx="719270" cy="171090"/>
          </a:xfrm>
          <a:prstGeom prst="bentConnector3">
            <a:avLst>
              <a:gd name="adj1" fmla="val 729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Gerader Verbinder 1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CxnSpPr/>
        </xdr:nvCxnSpPr>
        <xdr:spPr>
          <a:xfrm rot="5400000">
            <a:off x="6637539" y="5663622"/>
            <a:ext cx="291944" cy="141866"/>
          </a:xfrm>
          <a:prstGeom prst="bentConnector3">
            <a:avLst>
              <a:gd name="adj1" fmla="val 4166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5" name="Gerader Verbinder 13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CxnSpPr/>
        </xdr:nvCxnSpPr>
        <xdr:spPr>
          <a:xfrm rot="16200000" flipV="1">
            <a:off x="7150214" y="5681864"/>
            <a:ext cx="295993" cy="149966"/>
          </a:xfrm>
          <a:prstGeom prst="bentConnector3">
            <a:avLst>
              <a:gd name="adj1" fmla="val 6643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6" name="Gerader Verbinder 13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CxnSpPr/>
        </xdr:nvCxnSpPr>
        <xdr:spPr>
          <a:xfrm rot="5400000">
            <a:off x="6694532" y="5144785"/>
            <a:ext cx="172480" cy="144166"/>
          </a:xfrm>
          <a:prstGeom prst="bentConnector3">
            <a:avLst>
              <a:gd name="adj1" fmla="val 45327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7" name="Gerader Verbinder 13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CxnSpPr/>
        </xdr:nvCxnSpPr>
        <xdr:spPr>
          <a:xfrm rot="16200000" flipV="1">
            <a:off x="7189132" y="5129672"/>
            <a:ext cx="232017" cy="171491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31</xdr:row>
      <xdr:rowOff>154781</xdr:rowOff>
    </xdr:from>
    <xdr:to>
      <xdr:col>8</xdr:col>
      <xdr:colOff>615462</xdr:colOff>
      <xdr:row>48</xdr:row>
      <xdr:rowOff>80596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4443778" y="3774281"/>
          <a:ext cx="3182084" cy="2059415"/>
          <a:chOff x="5255481" y="3932168"/>
          <a:chExt cx="2104611" cy="2068582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CxnSpPr/>
        </xdr:nvCxnSpPr>
        <xdr:spPr bwMode="auto">
          <a:xfrm>
            <a:off x="7361997" y="3930263"/>
            <a:ext cx="0" cy="10989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CxnSpPr/>
        </xdr:nvCxnSpPr>
        <xdr:spPr bwMode="auto">
          <a:xfrm flipH="1">
            <a:off x="6046304" y="4047089"/>
            <a:ext cx="1313788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CxnSpPr/>
        </xdr:nvCxnSpPr>
        <xdr:spPr bwMode="auto">
          <a:xfrm>
            <a:off x="6049204" y="4047089"/>
            <a:ext cx="0" cy="195366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 bwMode="auto">
          <a:xfrm flipH="1">
            <a:off x="5255481" y="6000750"/>
            <a:ext cx="790823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5</xdr:col>
      <xdr:colOff>6544</xdr:colOff>
      <xdr:row>50</xdr:row>
      <xdr:rowOff>20376</xdr:rowOff>
    </xdr:from>
    <xdr:to>
      <xdr:col>5</xdr:col>
      <xdr:colOff>140804</xdr:colOff>
      <xdr:row>51</xdr:row>
      <xdr:rowOff>8463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629" t="6319" r="3392" b="5829"/>
        <a:stretch/>
      </xdr:blipFill>
      <xdr:spPr>
        <a:xfrm>
          <a:off x="4435669" y="5983026"/>
          <a:ext cx="134260" cy="15001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39</xdr:row>
          <xdr:rowOff>19050</xdr:rowOff>
        </xdr:from>
        <xdr:to>
          <xdr:col>8</xdr:col>
          <xdr:colOff>1009650</xdr:colOff>
          <xdr:row>39</xdr:row>
          <xdr:rowOff>142875</xdr:rowOff>
        </xdr:to>
        <xdr:sp macro="" textlink="">
          <xdr:nvSpPr>
            <xdr:cNvPr id="27649" name="Scroll Bar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4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40</xdr:row>
          <xdr:rowOff>19050</xdr:rowOff>
        </xdr:from>
        <xdr:to>
          <xdr:col>8</xdr:col>
          <xdr:colOff>1009650</xdr:colOff>
          <xdr:row>40</xdr:row>
          <xdr:rowOff>142875</xdr:rowOff>
        </xdr:to>
        <xdr:sp macro="" textlink="">
          <xdr:nvSpPr>
            <xdr:cNvPr id="27650" name="Scroll Bar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4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41</xdr:row>
          <xdr:rowOff>19050</xdr:rowOff>
        </xdr:from>
        <xdr:to>
          <xdr:col>8</xdr:col>
          <xdr:colOff>1009650</xdr:colOff>
          <xdr:row>41</xdr:row>
          <xdr:rowOff>152400</xdr:rowOff>
        </xdr:to>
        <xdr:sp macro="" textlink="">
          <xdr:nvSpPr>
            <xdr:cNvPr id="27651" name="Scroll Bar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4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1009650</xdr:colOff>
          <xdr:row>42</xdr:row>
          <xdr:rowOff>152400</xdr:rowOff>
        </xdr:to>
        <xdr:sp macro="" textlink="">
          <xdr:nvSpPr>
            <xdr:cNvPr id="27652" name="Scroll Bar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4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736820</xdr:colOff>
      <xdr:row>38</xdr:row>
      <xdr:rowOff>130969</xdr:rowOff>
    </xdr:from>
    <xdr:to>
      <xdr:col>8</xdr:col>
      <xdr:colOff>320842</xdr:colOff>
      <xdr:row>43</xdr:row>
      <xdr:rowOff>41672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pSpPr/>
      </xdr:nvGrpSpPr>
      <xdr:grpSpPr>
        <a:xfrm>
          <a:off x="6766145" y="4493419"/>
          <a:ext cx="565097" cy="720328"/>
          <a:chOff x="7083478" y="4306229"/>
          <a:chExt cx="453639" cy="867350"/>
        </a:xfrm>
      </xdr:grpSpPr>
      <xdr:cxnSp macro="">
        <xdr:nvCxnSpPr>
          <xdr:cNvPr id="12" name="Gerader Verbinder 17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CxnSpPr/>
        </xdr:nvCxnSpPr>
        <xdr:spPr>
          <a:xfrm>
            <a:off x="7537117" y="4306229"/>
            <a:ext cx="0" cy="86735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r Verbinder 17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CxnSpPr/>
        </xdr:nvCxnSpPr>
        <xdr:spPr>
          <a:xfrm>
            <a:off x="7083478" y="4306229"/>
            <a:ext cx="0" cy="867350"/>
          </a:xfrm>
          <a:prstGeom prst="straightConnector1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34</xdr:row>
          <xdr:rowOff>38100</xdr:rowOff>
        </xdr:from>
        <xdr:to>
          <xdr:col>8</xdr:col>
          <xdr:colOff>1009650</xdr:colOff>
          <xdr:row>34</xdr:row>
          <xdr:rowOff>142875</xdr:rowOff>
        </xdr:to>
        <xdr:sp macro="" textlink="">
          <xdr:nvSpPr>
            <xdr:cNvPr id="28673" name="Scroll Bar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5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28575</xdr:rowOff>
        </xdr:from>
        <xdr:to>
          <xdr:col>8</xdr:col>
          <xdr:colOff>1028700</xdr:colOff>
          <xdr:row>35</xdr:row>
          <xdr:rowOff>133350</xdr:rowOff>
        </xdr:to>
        <xdr:sp macro="" textlink="">
          <xdr:nvSpPr>
            <xdr:cNvPr id="28674" name="Scroll Bar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5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36</xdr:row>
          <xdr:rowOff>28575</xdr:rowOff>
        </xdr:from>
        <xdr:to>
          <xdr:col>8</xdr:col>
          <xdr:colOff>1028700</xdr:colOff>
          <xdr:row>36</xdr:row>
          <xdr:rowOff>133350</xdr:rowOff>
        </xdr:to>
        <xdr:sp macro="" textlink="">
          <xdr:nvSpPr>
            <xdr:cNvPr id="28675" name="Scroll Bar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5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37</xdr:row>
          <xdr:rowOff>28575</xdr:rowOff>
        </xdr:from>
        <xdr:to>
          <xdr:col>8</xdr:col>
          <xdr:colOff>1028700</xdr:colOff>
          <xdr:row>37</xdr:row>
          <xdr:rowOff>133350</xdr:rowOff>
        </xdr:to>
        <xdr:sp macro="" textlink="">
          <xdr:nvSpPr>
            <xdr:cNvPr id="28676" name="Scroll Bar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5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39</xdr:row>
          <xdr:rowOff>28575</xdr:rowOff>
        </xdr:from>
        <xdr:to>
          <xdr:col>8</xdr:col>
          <xdr:colOff>1028700</xdr:colOff>
          <xdr:row>39</xdr:row>
          <xdr:rowOff>133350</xdr:rowOff>
        </xdr:to>
        <xdr:sp macro="" textlink="">
          <xdr:nvSpPr>
            <xdr:cNvPr id="28677" name="Scroll Bar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5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40</xdr:row>
          <xdr:rowOff>28575</xdr:rowOff>
        </xdr:from>
        <xdr:to>
          <xdr:col>8</xdr:col>
          <xdr:colOff>1019175</xdr:colOff>
          <xdr:row>40</xdr:row>
          <xdr:rowOff>133350</xdr:rowOff>
        </xdr:to>
        <xdr:sp macro="" textlink="">
          <xdr:nvSpPr>
            <xdr:cNvPr id="28678" name="Scroll Bar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5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41</xdr:row>
          <xdr:rowOff>28575</xdr:rowOff>
        </xdr:from>
        <xdr:to>
          <xdr:col>8</xdr:col>
          <xdr:colOff>1028700</xdr:colOff>
          <xdr:row>41</xdr:row>
          <xdr:rowOff>133350</xdr:rowOff>
        </xdr:to>
        <xdr:sp macro="" textlink="">
          <xdr:nvSpPr>
            <xdr:cNvPr id="28679" name="Scroll Bar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5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31753</xdr:colOff>
      <xdr:row>29</xdr:row>
      <xdr:rowOff>38100</xdr:rowOff>
    </xdr:from>
    <xdr:to>
      <xdr:col>8</xdr:col>
      <xdr:colOff>631832</xdr:colOff>
      <xdr:row>47</xdr:row>
      <xdr:rowOff>80170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/>
      </xdr:nvGrpSpPr>
      <xdr:grpSpPr>
        <a:xfrm>
          <a:off x="4460878" y="3543300"/>
          <a:ext cx="3181354" cy="2594770"/>
          <a:chOff x="4483096" y="5062119"/>
          <a:chExt cx="3178179" cy="2672182"/>
        </a:xfrm>
      </xdr:grpSpPr>
      <xdr:grpSp>
        <xdr:nvGrpSpPr>
          <xdr:cNvPr id="8" name="Gruppieren 1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GrpSpPr>
            <a:grpSpLocks/>
          </xdr:cNvGrpSpPr>
        </xdr:nvGrpSpPr>
        <xdr:grpSpPr bwMode="auto">
          <a:xfrm>
            <a:off x="4483096" y="5111493"/>
            <a:ext cx="1287653" cy="2622808"/>
            <a:chOff x="4881355" y="5720981"/>
            <a:chExt cx="699132" cy="2432938"/>
          </a:xfrm>
        </xdr:grpSpPr>
        <xdr:cxnSp macro="">
          <xdr:nvCxnSpPr>
            <xdr:cNvPr id="11" name="Gerade Verbindung 4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CxnSpPr/>
          </xdr:nvCxnSpPr>
          <xdr:spPr>
            <a:xfrm flipH="1">
              <a:off x="5576505" y="5720981"/>
              <a:ext cx="3982" cy="2432938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" name="Gerade Verbindung mit Pfeil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9" name="Gerader Verbinder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CxnSpPr/>
        </xdr:nvCxnSpPr>
        <xdr:spPr>
          <a:xfrm>
            <a:off x="5766594" y="5114030"/>
            <a:ext cx="1894681" cy="238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Gerader Verbinde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CxnSpPr/>
        </xdr:nvCxnSpPr>
        <xdr:spPr>
          <a:xfrm flipH="1" flipV="1">
            <a:off x="7659770" y="5062119"/>
            <a:ext cx="702" cy="5691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659124</xdr:colOff>
      <xdr:row>34</xdr:row>
      <xdr:rowOff>3809</xdr:rowOff>
    </xdr:from>
    <xdr:to>
      <xdr:col>8</xdr:col>
      <xdr:colOff>354329</xdr:colOff>
      <xdr:row>42</xdr:row>
      <xdr:rowOff>8634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6688449" y="4271009"/>
          <a:ext cx="676280" cy="1195450"/>
          <a:chOff x="7155937" y="4295136"/>
          <a:chExt cx="697457" cy="1213035"/>
        </a:xfrm>
      </xdr:grpSpPr>
      <xdr:cxnSp macro="">
        <xdr:nvCxnSpPr>
          <xdr:cNvPr id="3" name="Verbinder: gewinkelt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CxnSpPr/>
        </xdr:nvCxnSpPr>
        <xdr:spPr>
          <a:xfrm rot="16200000" flipV="1">
            <a:off x="6735186" y="4715887"/>
            <a:ext cx="1022536" cy="181033"/>
          </a:xfrm>
          <a:prstGeom prst="bentConnector3">
            <a:avLst>
              <a:gd name="adj1" fmla="val 840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Verbinder: gewinkelt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CxnSpPr/>
        </xdr:nvCxnSpPr>
        <xdr:spPr>
          <a:xfrm rot="5400000" flipH="1" flipV="1">
            <a:off x="7267871" y="4741998"/>
            <a:ext cx="1024735" cy="146310"/>
          </a:xfrm>
          <a:prstGeom prst="bentConnector3">
            <a:avLst>
              <a:gd name="adj1" fmla="val 8432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Verbinder: gewinkelt 12">
            <a:extLst>
              <a:ext uri="{FF2B5EF4-FFF2-40B4-BE49-F238E27FC236}">
                <a16:creationId xmlns:a16="http://schemas.microsoft.com/office/drawing/2014/main" id="{00000000-0008-0000-0500-00000D000000}"/>
              </a:ext>
            </a:extLst>
          </xdr:cNvPr>
          <xdr:cNvCxnSpPr/>
        </xdr:nvCxnSpPr>
        <xdr:spPr>
          <a:xfrm rot="5400000" flipH="1" flipV="1">
            <a:off x="7168402" y="5323924"/>
            <a:ext cx="196590" cy="140545"/>
          </a:xfrm>
          <a:prstGeom prst="bentConnector3">
            <a:avLst>
              <a:gd name="adj1" fmla="val 733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4" name="Verbinder: gewinkelt 13">
            <a:extLst>
              <a:ext uri="{FF2B5EF4-FFF2-40B4-BE49-F238E27FC236}">
                <a16:creationId xmlns:a16="http://schemas.microsoft.com/office/drawing/2014/main" id="{00000000-0008-0000-0500-00000E000000}"/>
              </a:ext>
            </a:extLst>
          </xdr:cNvPr>
          <xdr:cNvCxnSpPr/>
        </xdr:nvCxnSpPr>
        <xdr:spPr>
          <a:xfrm rot="16200000" flipV="1">
            <a:off x="7679874" y="5339444"/>
            <a:ext cx="195943" cy="141511"/>
          </a:xfrm>
          <a:prstGeom prst="bentConnector3">
            <a:avLst>
              <a:gd name="adj1" fmla="val 8282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28575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2769" name="Scroll Bar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6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28575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32770" name="Scroll Bar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6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32771" name="Scroll Bar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06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1019175</xdr:colOff>
          <xdr:row>45</xdr:row>
          <xdr:rowOff>133350</xdr:rowOff>
        </xdr:to>
        <xdr:sp macro="" textlink="">
          <xdr:nvSpPr>
            <xdr:cNvPr id="32772" name="Scroll Bar 4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06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47</xdr:row>
          <xdr:rowOff>28575</xdr:rowOff>
        </xdr:from>
        <xdr:to>
          <xdr:col>8</xdr:col>
          <xdr:colOff>1019175</xdr:colOff>
          <xdr:row>47</xdr:row>
          <xdr:rowOff>133350</xdr:rowOff>
        </xdr:to>
        <xdr:sp macro="" textlink="">
          <xdr:nvSpPr>
            <xdr:cNvPr id="32773" name="Scroll Bar 5" hidden="1">
              <a:extLst>
                <a:ext uri="{63B3BB69-23CF-44E3-9099-C40C66FF867C}">
                  <a14:compatExt spid="_x0000_s32773"/>
                </a:ext>
                <a:ext uri="{FF2B5EF4-FFF2-40B4-BE49-F238E27FC236}">
                  <a16:creationId xmlns:a16="http://schemas.microsoft.com/office/drawing/2014/main" id="{00000000-0008-0000-0600-000005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49</xdr:row>
          <xdr:rowOff>28575</xdr:rowOff>
        </xdr:from>
        <xdr:to>
          <xdr:col>8</xdr:col>
          <xdr:colOff>1019175</xdr:colOff>
          <xdr:row>49</xdr:row>
          <xdr:rowOff>133350</xdr:rowOff>
        </xdr:to>
        <xdr:sp macro="" textlink="">
          <xdr:nvSpPr>
            <xdr:cNvPr id="32774" name="Scroll Bar 6" hidden="1">
              <a:extLst>
                <a:ext uri="{63B3BB69-23CF-44E3-9099-C40C66FF867C}">
                  <a14:compatExt spid="_x0000_s32774"/>
                </a:ext>
                <a:ext uri="{FF2B5EF4-FFF2-40B4-BE49-F238E27FC236}">
                  <a16:creationId xmlns:a16="http://schemas.microsoft.com/office/drawing/2014/main" id="{00000000-0008-0000-0600-000006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50</xdr:row>
          <xdr:rowOff>28575</xdr:rowOff>
        </xdr:from>
        <xdr:to>
          <xdr:col>8</xdr:col>
          <xdr:colOff>1019175</xdr:colOff>
          <xdr:row>50</xdr:row>
          <xdr:rowOff>133350</xdr:rowOff>
        </xdr:to>
        <xdr:sp macro="" textlink="">
          <xdr:nvSpPr>
            <xdr:cNvPr id="32775" name="Scroll Bar 7" hidden="1">
              <a:extLst>
                <a:ext uri="{63B3BB69-23CF-44E3-9099-C40C66FF867C}">
                  <a14:compatExt spid="_x0000_s32775"/>
                </a:ext>
                <a:ext uri="{FF2B5EF4-FFF2-40B4-BE49-F238E27FC236}">
                  <a16:creationId xmlns:a16="http://schemas.microsoft.com/office/drawing/2014/main" id="{00000000-0008-0000-0600-000007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25400</xdr:colOff>
      <xdr:row>37</xdr:row>
      <xdr:rowOff>29308</xdr:rowOff>
    </xdr:from>
    <xdr:to>
      <xdr:col>8</xdr:col>
      <xdr:colOff>625482</xdr:colOff>
      <xdr:row>56</xdr:row>
      <xdr:rowOff>92870</xdr:rowOff>
    </xdr:to>
    <xdr:grpSp>
      <xdr:nvGrpSpPr>
        <xdr:cNvPr id="10" name="Gruppieren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4521200" y="4829908"/>
          <a:ext cx="3171832" cy="2768662"/>
          <a:chOff x="4483093" y="4002881"/>
          <a:chExt cx="3178182" cy="2861470"/>
        </a:xfrm>
      </xdr:grpSpPr>
      <xdr:grpSp>
        <xdr:nvGrpSpPr>
          <xdr:cNvPr id="11" name="Gruppieren 1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GrpSpPr>
            <a:grpSpLocks/>
          </xdr:cNvGrpSpPr>
        </xdr:nvGrpSpPr>
        <xdr:grpSpPr bwMode="auto">
          <a:xfrm>
            <a:off x="4483093" y="4098130"/>
            <a:ext cx="1285378" cy="2766221"/>
            <a:chOff x="4881355" y="4780977"/>
            <a:chExt cx="697897" cy="2565969"/>
          </a:xfrm>
        </xdr:grpSpPr>
        <xdr:cxnSp macro="">
          <xdr:nvCxnSpPr>
            <xdr:cNvPr id="14" name="Gerade Verbindung 4">
              <a:extLst>
                <a:ext uri="{FF2B5EF4-FFF2-40B4-BE49-F238E27FC236}">
                  <a16:creationId xmlns:a16="http://schemas.microsoft.com/office/drawing/2014/main" id="{00000000-0008-0000-0600-00000E000000}"/>
                </a:ext>
              </a:extLst>
            </xdr:cNvPr>
            <xdr:cNvCxnSpPr/>
          </xdr:nvCxnSpPr>
          <xdr:spPr>
            <a:xfrm>
              <a:off x="5577799" y="4780977"/>
              <a:ext cx="1392" cy="2561474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 Verbindung mit Pfeil 14">
              <a:extLst>
                <a:ext uri="{FF2B5EF4-FFF2-40B4-BE49-F238E27FC236}">
                  <a16:creationId xmlns:a16="http://schemas.microsoft.com/office/drawing/2014/main" id="{00000000-0008-0000-0600-00000F000000}"/>
                </a:ext>
              </a:extLst>
            </xdr:cNvPr>
            <xdr:cNvCxnSpPr/>
          </xdr:nvCxnSpPr>
          <xdr:spPr>
            <a:xfrm flipH="1">
              <a:off x="4881355" y="7340974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2" name="Gerader Verbinder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CxnSpPr/>
        </xdr:nvCxnSpPr>
        <xdr:spPr>
          <a:xfrm>
            <a:off x="5766594" y="4106069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Gerader Verbinder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CxnSpPr/>
        </xdr:nvCxnSpPr>
        <xdr:spPr>
          <a:xfrm flipH="1" flipV="1">
            <a:off x="7658894" y="4002881"/>
            <a:ext cx="2381" cy="11033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48</xdr:row>
          <xdr:rowOff>28575</xdr:rowOff>
        </xdr:from>
        <xdr:to>
          <xdr:col>8</xdr:col>
          <xdr:colOff>1019175</xdr:colOff>
          <xdr:row>48</xdr:row>
          <xdr:rowOff>133350</xdr:rowOff>
        </xdr:to>
        <xdr:sp macro="" textlink="">
          <xdr:nvSpPr>
            <xdr:cNvPr id="32776" name="Scroll Bar 8" hidden="1">
              <a:extLst>
                <a:ext uri="{63B3BB69-23CF-44E3-9099-C40C66FF867C}">
                  <a14:compatExt spid="_x0000_s32776"/>
                </a:ext>
                <a:ext uri="{FF2B5EF4-FFF2-40B4-BE49-F238E27FC236}">
                  <a16:creationId xmlns:a16="http://schemas.microsoft.com/office/drawing/2014/main" id="{00000000-0008-0000-0600-00000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684993</xdr:colOff>
      <xdr:row>41</xdr:row>
      <xdr:rowOff>149967</xdr:rowOff>
    </xdr:from>
    <xdr:to>
      <xdr:col>8</xdr:col>
      <xdr:colOff>360743</xdr:colOff>
      <xdr:row>51</xdr:row>
      <xdr:rowOff>20262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>
          <a:off x="6771468" y="5550642"/>
          <a:ext cx="656825" cy="1384770"/>
          <a:chOff x="6711041" y="5584179"/>
          <a:chExt cx="657979" cy="1380491"/>
        </a:xfrm>
      </xdr:grpSpPr>
      <xdr:cxnSp macro="">
        <xdr:nvCxnSpPr>
          <xdr:cNvPr id="3" name="Gerader Verbinder 105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CxnSpPr/>
        </xdr:nvCxnSpPr>
        <xdr:spPr>
          <a:xfrm rot="5400000" flipH="1" flipV="1">
            <a:off x="7116069" y="6542239"/>
            <a:ext cx="319160" cy="138198"/>
          </a:xfrm>
          <a:prstGeom prst="bentConnector3">
            <a:avLst>
              <a:gd name="adj1" fmla="val 43676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grpSp>
        <xdr:nvGrpSpPr>
          <xdr:cNvPr id="5" name="Gruppieren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GrpSpPr/>
        </xdr:nvGrpSpPr>
        <xdr:grpSpPr>
          <a:xfrm>
            <a:off x="6711041" y="5584179"/>
            <a:ext cx="657979" cy="1380491"/>
            <a:chOff x="7137566" y="5539294"/>
            <a:chExt cx="725569" cy="1369565"/>
          </a:xfrm>
        </xdr:grpSpPr>
        <xdr:cxnSp macro="">
          <xdr:nvCxnSpPr>
            <xdr:cNvPr id="6" name="Gerader Verbinder 1052">
              <a:extLst>
                <a:ext uri="{FF2B5EF4-FFF2-40B4-BE49-F238E27FC236}">
                  <a16:creationId xmlns:a16="http://schemas.microsoft.com/office/drawing/2014/main" id="{00000000-0008-0000-0600-000006000000}"/>
                </a:ext>
              </a:extLst>
            </xdr:cNvPr>
            <xdr:cNvCxnSpPr/>
          </xdr:nvCxnSpPr>
          <xdr:spPr>
            <a:xfrm rot="16200000" flipV="1">
              <a:off x="6872427" y="5804434"/>
              <a:ext cx="703883" cy="173606"/>
            </a:xfrm>
            <a:prstGeom prst="bentConnector3">
              <a:avLst>
                <a:gd name="adj1" fmla="val 75033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Gerader Verbinder 1052">
              <a:extLst>
                <a:ext uri="{FF2B5EF4-FFF2-40B4-BE49-F238E27FC236}">
                  <a16:creationId xmlns:a16="http://schemas.microsoft.com/office/drawing/2014/main" id="{00000000-0008-0000-0600-000007000000}"/>
                </a:ext>
              </a:extLst>
            </xdr:cNvPr>
            <xdr:cNvCxnSpPr/>
          </xdr:nvCxnSpPr>
          <xdr:spPr>
            <a:xfrm rot="5400000" flipH="1" flipV="1">
              <a:off x="7457349" y="5780925"/>
              <a:ext cx="647418" cy="164155"/>
            </a:xfrm>
            <a:prstGeom prst="bentConnector3">
              <a:avLst>
                <a:gd name="adj1" fmla="val 74123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Gerader Verbinder 1052">
              <a:extLst>
                <a:ext uri="{FF2B5EF4-FFF2-40B4-BE49-F238E27FC236}">
                  <a16:creationId xmlns:a16="http://schemas.microsoft.com/office/drawing/2014/main" id="{00000000-0008-0000-0600-000010000000}"/>
                </a:ext>
              </a:extLst>
            </xdr:cNvPr>
            <xdr:cNvCxnSpPr/>
          </xdr:nvCxnSpPr>
          <xdr:spPr>
            <a:xfrm rot="16200000" flipV="1">
              <a:off x="7083075" y="6501957"/>
              <a:ext cx="319973" cy="116062"/>
            </a:xfrm>
            <a:prstGeom prst="bentConnector3">
              <a:avLst>
                <a:gd name="adj1" fmla="val 44495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7" name="Gerader Verbinder 1052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CxnSpPr/>
          </xdr:nvCxnSpPr>
          <xdr:spPr>
            <a:xfrm rot="5400000">
              <a:off x="6982149" y="6228661"/>
              <a:ext cx="532715" cy="125331"/>
            </a:xfrm>
            <a:prstGeom prst="bentConnector3">
              <a:avLst>
                <a:gd name="adj1" fmla="val 41429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8" name="Gerader Verbinder 1052">
              <a:extLst>
                <a:ext uri="{FF2B5EF4-FFF2-40B4-BE49-F238E27FC236}">
                  <a16:creationId xmlns:a16="http://schemas.microsoft.com/office/drawing/2014/main" id="{00000000-0008-0000-0600-000012000000}"/>
                </a:ext>
              </a:extLst>
            </xdr:cNvPr>
            <xdr:cNvCxnSpPr/>
          </xdr:nvCxnSpPr>
          <xdr:spPr>
            <a:xfrm rot="16200000" flipV="1">
              <a:off x="7491115" y="6202751"/>
              <a:ext cx="551087" cy="135358"/>
            </a:xfrm>
            <a:prstGeom prst="bentConnector3">
              <a:avLst>
                <a:gd name="adj1" fmla="val 54601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9" name="Gerader Verbinder 1052">
              <a:extLst>
                <a:ext uri="{FF2B5EF4-FFF2-40B4-BE49-F238E27FC236}">
                  <a16:creationId xmlns:a16="http://schemas.microsoft.com/office/drawing/2014/main" id="{00000000-0008-0000-0600-000013000000}"/>
                </a:ext>
              </a:extLst>
            </xdr:cNvPr>
            <xdr:cNvCxnSpPr/>
          </xdr:nvCxnSpPr>
          <xdr:spPr>
            <a:xfrm rot="5400000">
              <a:off x="7117149" y="6712851"/>
              <a:ext cx="262640" cy="105353"/>
            </a:xfrm>
            <a:prstGeom prst="bentConnector3">
              <a:avLst>
                <a:gd name="adj1" fmla="val 37802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20" name="Gerader Verbinder 1052">
              <a:extLst>
                <a:ext uri="{FF2B5EF4-FFF2-40B4-BE49-F238E27FC236}">
                  <a16:creationId xmlns:a16="http://schemas.microsoft.com/office/drawing/2014/main" id="{00000000-0008-0000-0600-000014000000}"/>
                </a:ext>
              </a:extLst>
            </xdr:cNvPr>
            <xdr:cNvCxnSpPr/>
          </xdr:nvCxnSpPr>
          <xdr:spPr>
            <a:xfrm rot="16200000" flipH="1">
              <a:off x="7610982" y="6688061"/>
              <a:ext cx="294561" cy="147036"/>
            </a:xfrm>
            <a:prstGeom prst="bentConnector3">
              <a:avLst>
                <a:gd name="adj1" fmla="val 40484"/>
              </a:avLst>
            </a:prstGeom>
            <a:ln>
              <a:solidFill>
                <a:schemeClr val="tx1">
                  <a:lumMod val="50000"/>
                  <a:lumOff val="50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31574</xdr:colOff>
      <xdr:row>36</xdr:row>
      <xdr:rowOff>107157</xdr:rowOff>
    </xdr:from>
    <xdr:to>
      <xdr:col>8</xdr:col>
      <xdr:colOff>666750</xdr:colOff>
      <xdr:row>54</xdr:row>
      <xdr:rowOff>93345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4460699" y="5060157"/>
          <a:ext cx="3216451" cy="2491263"/>
          <a:chOff x="5232477" y="5653854"/>
          <a:chExt cx="2044344" cy="2430966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CxnSpPr/>
        </xdr:nvCxnSpPr>
        <xdr:spPr bwMode="auto">
          <a:xfrm>
            <a:off x="7270332" y="5663379"/>
            <a:ext cx="0" cy="124522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CxnSpPr/>
        </xdr:nvCxnSpPr>
        <xdr:spPr bwMode="auto">
          <a:xfrm flipH="1">
            <a:off x="6051093" y="5787901"/>
            <a:ext cx="1227633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CxnSpPr/>
        </xdr:nvCxnSpPr>
        <xdr:spPr bwMode="auto">
          <a:xfrm>
            <a:off x="6051093" y="5787901"/>
            <a:ext cx="0" cy="22988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CxnSpPr/>
        </xdr:nvCxnSpPr>
        <xdr:spPr bwMode="auto">
          <a:xfrm flipH="1">
            <a:off x="5222488" y="8084820"/>
            <a:ext cx="82860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1019175</xdr:colOff>
          <xdr:row>42</xdr:row>
          <xdr:rowOff>133350</xdr:rowOff>
        </xdr:to>
        <xdr:sp macro="" textlink="">
          <xdr:nvSpPr>
            <xdr:cNvPr id="33793" name="Scroll Bar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7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1019175</xdr:colOff>
          <xdr:row>43</xdr:row>
          <xdr:rowOff>133350</xdr:rowOff>
        </xdr:to>
        <xdr:sp macro="" textlink="">
          <xdr:nvSpPr>
            <xdr:cNvPr id="33794" name="Scroll Bar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7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28575</xdr:rowOff>
        </xdr:from>
        <xdr:to>
          <xdr:col>8</xdr:col>
          <xdr:colOff>1019175</xdr:colOff>
          <xdr:row>44</xdr:row>
          <xdr:rowOff>142875</xdr:rowOff>
        </xdr:to>
        <xdr:sp macro="" textlink="">
          <xdr:nvSpPr>
            <xdr:cNvPr id="33795" name="Scroll Bar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07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28575</xdr:rowOff>
        </xdr:from>
        <xdr:to>
          <xdr:col>8</xdr:col>
          <xdr:colOff>1019175</xdr:colOff>
          <xdr:row>45</xdr:row>
          <xdr:rowOff>142875</xdr:rowOff>
        </xdr:to>
        <xdr:sp macro="" textlink="">
          <xdr:nvSpPr>
            <xdr:cNvPr id="33796" name="Scroll Bar 4" hidden="1">
              <a:extLst>
                <a:ext uri="{63B3BB69-23CF-44E3-9099-C40C66FF867C}">
                  <a14:compatExt spid="_x0000_s33796"/>
                </a:ext>
                <a:ext uri="{FF2B5EF4-FFF2-40B4-BE49-F238E27FC236}">
                  <a16:creationId xmlns:a16="http://schemas.microsoft.com/office/drawing/2014/main" id="{00000000-0008-0000-0700-000004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142875</xdr:rowOff>
        </xdr:to>
        <xdr:sp macro="" textlink="">
          <xdr:nvSpPr>
            <xdr:cNvPr id="33797" name="Scroll Bar 5" hidden="1">
              <a:extLst>
                <a:ext uri="{63B3BB69-23CF-44E3-9099-C40C66FF867C}">
                  <a14:compatExt spid="_x0000_s33797"/>
                </a:ext>
                <a:ext uri="{FF2B5EF4-FFF2-40B4-BE49-F238E27FC236}">
                  <a16:creationId xmlns:a16="http://schemas.microsoft.com/office/drawing/2014/main" id="{00000000-0008-0000-0700-000005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142875</xdr:rowOff>
        </xdr:to>
        <xdr:sp macro="" textlink="">
          <xdr:nvSpPr>
            <xdr:cNvPr id="33798" name="Scroll Bar 6" hidden="1">
              <a:extLst>
                <a:ext uri="{63B3BB69-23CF-44E3-9099-C40C66FF867C}">
                  <a14:compatExt spid="_x0000_s33798"/>
                </a:ext>
                <a:ext uri="{FF2B5EF4-FFF2-40B4-BE49-F238E27FC236}">
                  <a16:creationId xmlns:a16="http://schemas.microsoft.com/office/drawing/2014/main" id="{00000000-0008-0000-0700-000006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690561</xdr:colOff>
      <xdr:row>41</xdr:row>
      <xdr:rowOff>119064</xdr:rowOff>
    </xdr:from>
    <xdr:to>
      <xdr:col>8</xdr:col>
      <xdr:colOff>369088</xdr:colOff>
      <xdr:row>49</xdr:row>
      <xdr:rowOff>53274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pSpPr/>
      </xdr:nvGrpSpPr>
      <xdr:grpSpPr>
        <a:xfrm>
          <a:off x="6719886" y="5805489"/>
          <a:ext cx="659602" cy="1115310"/>
          <a:chOff x="6697752" y="4450740"/>
          <a:chExt cx="693006" cy="1145969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7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55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7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44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700-000010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692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700-000011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6878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700-000012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635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700-000013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3849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95775</xdr:colOff>
      <xdr:row>36</xdr:row>
      <xdr:rowOff>114301</xdr:rowOff>
    </xdr:from>
    <xdr:to>
      <xdr:col>8</xdr:col>
      <xdr:colOff>748862</xdr:colOff>
      <xdr:row>54</xdr:row>
      <xdr:rowOff>65691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4524900" y="5153026"/>
          <a:ext cx="3234362" cy="2370740"/>
          <a:chOff x="5267391" y="5832322"/>
          <a:chExt cx="2059765" cy="2442998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CxnSpPr/>
        </xdr:nvCxnSpPr>
        <xdr:spPr bwMode="auto">
          <a:xfrm>
            <a:off x="7268035" y="5844606"/>
            <a:ext cx="0" cy="12362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CxnSpPr/>
        </xdr:nvCxnSpPr>
        <xdr:spPr bwMode="auto">
          <a:xfrm flipH="1">
            <a:off x="6050017" y="5969285"/>
            <a:ext cx="1219069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CxnSpPr/>
        </xdr:nvCxnSpPr>
        <xdr:spPr bwMode="auto">
          <a:xfrm>
            <a:off x="6049101" y="5971317"/>
            <a:ext cx="0" cy="2313528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CxnSpPr/>
        </xdr:nvCxnSpPr>
        <xdr:spPr bwMode="auto">
          <a:xfrm flipH="1">
            <a:off x="5213985" y="8284845"/>
            <a:ext cx="836032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42</xdr:row>
          <xdr:rowOff>19050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4817" name="Scroll Bar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8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43</xdr:row>
          <xdr:rowOff>19050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4818" name="Scroll Bar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8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44</xdr:row>
          <xdr:rowOff>28575</xdr:rowOff>
        </xdr:from>
        <xdr:to>
          <xdr:col>8</xdr:col>
          <xdr:colOff>1009650</xdr:colOff>
          <xdr:row>44</xdr:row>
          <xdr:rowOff>142875</xdr:rowOff>
        </xdr:to>
        <xdr:sp macro="" textlink="">
          <xdr:nvSpPr>
            <xdr:cNvPr id="34819" name="Scroll Bar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08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45</xdr:row>
          <xdr:rowOff>28575</xdr:rowOff>
        </xdr:from>
        <xdr:to>
          <xdr:col>8</xdr:col>
          <xdr:colOff>1009650</xdr:colOff>
          <xdr:row>45</xdr:row>
          <xdr:rowOff>152400</xdr:rowOff>
        </xdr:to>
        <xdr:sp macro="" textlink="">
          <xdr:nvSpPr>
            <xdr:cNvPr id="34820" name="Scroll Bar 4" hidden="1">
              <a:extLst>
                <a:ext uri="{63B3BB69-23CF-44E3-9099-C40C66FF867C}">
                  <a14:compatExt spid="_x0000_s34820"/>
                </a:ext>
                <a:ext uri="{FF2B5EF4-FFF2-40B4-BE49-F238E27FC236}">
                  <a16:creationId xmlns:a16="http://schemas.microsoft.com/office/drawing/2014/main" id="{00000000-0008-0000-0800-000004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142875</xdr:rowOff>
        </xdr:to>
        <xdr:sp macro="" textlink="">
          <xdr:nvSpPr>
            <xdr:cNvPr id="34821" name="Scroll Bar 5" hidden="1">
              <a:extLst>
                <a:ext uri="{63B3BB69-23CF-44E3-9099-C40C66FF867C}">
                  <a14:compatExt spid="_x0000_s34821"/>
                </a:ext>
                <a:ext uri="{FF2B5EF4-FFF2-40B4-BE49-F238E27FC236}">
                  <a16:creationId xmlns:a16="http://schemas.microsoft.com/office/drawing/2014/main" id="{00000000-0008-0000-0800-000005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142875</xdr:rowOff>
        </xdr:to>
        <xdr:sp macro="" textlink="">
          <xdr:nvSpPr>
            <xdr:cNvPr id="34822" name="Scroll Bar 6" hidden="1">
              <a:extLst>
                <a:ext uri="{63B3BB69-23CF-44E3-9099-C40C66FF867C}">
                  <a14:compatExt spid="_x0000_s34822"/>
                </a:ext>
                <a:ext uri="{FF2B5EF4-FFF2-40B4-BE49-F238E27FC236}">
                  <a16:creationId xmlns:a16="http://schemas.microsoft.com/office/drawing/2014/main" id="{00000000-0008-0000-0800-000006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690867</xdr:colOff>
      <xdr:row>41</xdr:row>
      <xdr:rowOff>124622</xdr:rowOff>
    </xdr:from>
    <xdr:to>
      <xdr:col>8</xdr:col>
      <xdr:colOff>373197</xdr:colOff>
      <xdr:row>49</xdr:row>
      <xdr:rowOff>29173</xdr:rowOff>
    </xdr:to>
    <xdr:grpSp>
      <xdr:nvGrpSpPr>
        <xdr:cNvPr id="13" name="Gruppieren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pSpPr/>
      </xdr:nvGrpSpPr>
      <xdr:grpSpPr>
        <a:xfrm>
          <a:off x="6720192" y="5896772"/>
          <a:ext cx="663405" cy="1095176"/>
          <a:chOff x="6697752" y="4450740"/>
          <a:chExt cx="693006" cy="1145969"/>
        </a:xfrm>
      </xdr:grpSpPr>
      <xdr:cxnSp macro="">
        <xdr:nvCxnSpPr>
          <xdr:cNvPr id="14" name="Gerader Verbinder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4824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800-00000F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4542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Verbinder: gewinkelt 15">
            <a:extLst>
              <a:ext uri="{FF2B5EF4-FFF2-40B4-BE49-F238E27FC236}">
                <a16:creationId xmlns:a16="http://schemas.microsoft.com/office/drawing/2014/main" id="{00000000-0008-0000-0800-000010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692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800-000011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6878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Gerader Verbinder 13">
            <a:extLst>
              <a:ext uri="{FF2B5EF4-FFF2-40B4-BE49-F238E27FC236}">
                <a16:creationId xmlns:a16="http://schemas.microsoft.com/office/drawing/2014/main" id="{00000000-0008-0000-0800-000012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65028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800-000013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2802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24161</xdr:colOff>
      <xdr:row>37</xdr:row>
      <xdr:rowOff>57150</xdr:rowOff>
    </xdr:from>
    <xdr:to>
      <xdr:col>8</xdr:col>
      <xdr:colOff>620974</xdr:colOff>
      <xdr:row>54</xdr:row>
      <xdr:rowOff>64770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4453286" y="5153025"/>
          <a:ext cx="3178088" cy="2217420"/>
          <a:chOff x="5265420" y="5762625"/>
          <a:chExt cx="2011680" cy="2398395"/>
        </a:xfrm>
      </xdr:grpSpPr>
      <xdr:cxnSp macro="">
        <xdr:nvCxnSpPr>
          <xdr:cNvPr id="3" name="Gerade Verbindung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CxnSpPr/>
        </xdr:nvCxnSpPr>
        <xdr:spPr bwMode="auto">
          <a:xfrm>
            <a:off x="7277100" y="5762625"/>
            <a:ext cx="0" cy="139604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Gerade Verbindung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/>
        </xdr:nvCxnSpPr>
        <xdr:spPr bwMode="auto">
          <a:xfrm flipH="1">
            <a:off x="6067425" y="5895869"/>
            <a:ext cx="1207770" cy="0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Gerade Verbindung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CxnSpPr/>
        </xdr:nvCxnSpPr>
        <xdr:spPr bwMode="auto">
          <a:xfrm>
            <a:off x="6066378" y="5895869"/>
            <a:ext cx="0" cy="226515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 Verbindung mit Pfeil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CxnSpPr/>
        </xdr:nvCxnSpPr>
        <xdr:spPr bwMode="auto">
          <a:xfrm flipH="1">
            <a:off x="5265420" y="8161020"/>
            <a:ext cx="809625" cy="0"/>
          </a:xfrm>
          <a:prstGeom prst="straightConnector1">
            <a:avLst/>
          </a:prstGeom>
          <a:ln>
            <a:solidFill>
              <a:schemeClr val="tx1">
                <a:lumMod val="50000"/>
                <a:lumOff val="50000"/>
              </a:schemeClr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42</xdr:row>
          <xdr:rowOff>19050</xdr:rowOff>
        </xdr:from>
        <xdr:to>
          <xdr:col>8</xdr:col>
          <xdr:colOff>1009650</xdr:colOff>
          <xdr:row>42</xdr:row>
          <xdr:rowOff>133350</xdr:rowOff>
        </xdr:to>
        <xdr:sp macro="" textlink="">
          <xdr:nvSpPr>
            <xdr:cNvPr id="35841" name="Scroll Bar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9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43</xdr:row>
          <xdr:rowOff>19050</xdr:rowOff>
        </xdr:from>
        <xdr:to>
          <xdr:col>8</xdr:col>
          <xdr:colOff>1009650</xdr:colOff>
          <xdr:row>43</xdr:row>
          <xdr:rowOff>133350</xdr:rowOff>
        </xdr:to>
        <xdr:sp macro="" textlink="">
          <xdr:nvSpPr>
            <xdr:cNvPr id="35842" name="Scroll Bar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9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44</xdr:row>
          <xdr:rowOff>38100</xdr:rowOff>
        </xdr:from>
        <xdr:to>
          <xdr:col>8</xdr:col>
          <xdr:colOff>1009650</xdr:colOff>
          <xdr:row>44</xdr:row>
          <xdr:rowOff>152400</xdr:rowOff>
        </xdr:to>
        <xdr:sp macro="" textlink="">
          <xdr:nvSpPr>
            <xdr:cNvPr id="35843" name="Scroll Bar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9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45</xdr:row>
          <xdr:rowOff>38100</xdr:rowOff>
        </xdr:from>
        <xdr:to>
          <xdr:col>8</xdr:col>
          <xdr:colOff>1009650</xdr:colOff>
          <xdr:row>45</xdr:row>
          <xdr:rowOff>152400</xdr:rowOff>
        </xdr:to>
        <xdr:sp macro="" textlink="">
          <xdr:nvSpPr>
            <xdr:cNvPr id="35844" name="Scroll Bar 4" hidden="1">
              <a:extLst>
                <a:ext uri="{63B3BB69-23CF-44E3-9099-C40C66FF867C}">
                  <a14:compatExt spid="_x0000_s35844"/>
                </a:ext>
                <a:ext uri="{FF2B5EF4-FFF2-40B4-BE49-F238E27FC236}">
                  <a16:creationId xmlns:a16="http://schemas.microsoft.com/office/drawing/2014/main" id="{00000000-0008-0000-0900-00000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47</xdr:row>
          <xdr:rowOff>28575</xdr:rowOff>
        </xdr:from>
        <xdr:to>
          <xdr:col>8</xdr:col>
          <xdr:colOff>1009650</xdr:colOff>
          <xdr:row>47</xdr:row>
          <xdr:rowOff>142875</xdr:rowOff>
        </xdr:to>
        <xdr:sp macro="" textlink="">
          <xdr:nvSpPr>
            <xdr:cNvPr id="35845" name="Scroll Bar 5" hidden="1">
              <a:extLst>
                <a:ext uri="{63B3BB69-23CF-44E3-9099-C40C66FF867C}">
                  <a14:compatExt spid="_x0000_s35845"/>
                </a:ext>
                <a:ext uri="{FF2B5EF4-FFF2-40B4-BE49-F238E27FC236}">
                  <a16:creationId xmlns:a16="http://schemas.microsoft.com/office/drawing/2014/main" id="{00000000-0008-0000-0900-00000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48</xdr:row>
          <xdr:rowOff>28575</xdr:rowOff>
        </xdr:from>
        <xdr:to>
          <xdr:col>8</xdr:col>
          <xdr:colOff>1009650</xdr:colOff>
          <xdr:row>48</xdr:row>
          <xdr:rowOff>142875</xdr:rowOff>
        </xdr:to>
        <xdr:sp macro="" textlink="">
          <xdr:nvSpPr>
            <xdr:cNvPr id="35846" name="Scroll Bar 6" hidden="1">
              <a:extLst>
                <a:ext uri="{63B3BB69-23CF-44E3-9099-C40C66FF867C}">
                  <a14:compatExt spid="_x0000_s35846"/>
                </a:ext>
                <a:ext uri="{FF2B5EF4-FFF2-40B4-BE49-F238E27FC236}">
                  <a16:creationId xmlns:a16="http://schemas.microsoft.com/office/drawing/2014/main" id="{00000000-0008-0000-0900-00000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LocksWithSheet="0"/>
      </xdr:twoCellAnchor>
    </mc:Choice>
    <mc:Fallback/>
  </mc:AlternateContent>
  <xdr:twoCellAnchor>
    <xdr:from>
      <xdr:col>7</xdr:col>
      <xdr:colOff>691664</xdr:colOff>
      <xdr:row>41</xdr:row>
      <xdr:rowOff>112058</xdr:rowOff>
    </xdr:from>
    <xdr:to>
      <xdr:col>8</xdr:col>
      <xdr:colOff>366653</xdr:colOff>
      <xdr:row>50</xdr:row>
      <xdr:rowOff>14124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pSpPr/>
      </xdr:nvGrpSpPr>
      <xdr:grpSpPr>
        <a:xfrm>
          <a:off x="6720989" y="5741333"/>
          <a:ext cx="656064" cy="1149841"/>
          <a:chOff x="6697752" y="4450740"/>
          <a:chExt cx="693006" cy="1145969"/>
        </a:xfrm>
      </xdr:grpSpPr>
      <xdr:cxnSp macro="">
        <xdr:nvCxnSpPr>
          <xdr:cNvPr id="15" name="Gerader Verbinder 13">
            <a:extLst>
              <a:ext uri="{FF2B5EF4-FFF2-40B4-BE49-F238E27FC236}">
                <a16:creationId xmlns:a16="http://schemas.microsoft.com/office/drawing/2014/main" id="{00000000-0008-0000-0900-00000F000000}"/>
              </a:ext>
            </a:extLst>
          </xdr:cNvPr>
          <xdr:cNvCxnSpPr/>
        </xdr:nvCxnSpPr>
        <xdr:spPr>
          <a:xfrm rot="16200000" flipV="1">
            <a:off x="6589586" y="5330578"/>
            <a:ext cx="385073" cy="147189"/>
          </a:xfrm>
          <a:prstGeom prst="bentConnector3">
            <a:avLst>
              <a:gd name="adj1" fmla="val 5555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6" name="Gerader Verbinder 13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CxnSpPr/>
        </xdr:nvCxnSpPr>
        <xdr:spPr>
          <a:xfrm rot="5400000" flipH="1" flipV="1">
            <a:off x="7121239" y="5315764"/>
            <a:ext cx="372295" cy="164044"/>
          </a:xfrm>
          <a:prstGeom prst="bentConnector3">
            <a:avLst>
              <a:gd name="adj1" fmla="val 5449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Verbinder: gewinkelt 16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CxnSpPr/>
        </xdr:nvCxnSpPr>
        <xdr:spPr>
          <a:xfrm rot="16200000" flipV="1">
            <a:off x="6424760" y="4723732"/>
            <a:ext cx="696351" cy="150367"/>
          </a:xfrm>
          <a:prstGeom prst="bentConnector3">
            <a:avLst>
              <a:gd name="adj1" fmla="val 69263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" name="Verbinder: gewinkelt 17">
            <a:extLst>
              <a:ext uri="{FF2B5EF4-FFF2-40B4-BE49-F238E27FC236}">
                <a16:creationId xmlns:a16="http://schemas.microsoft.com/office/drawing/2014/main" id="{00000000-0008-0000-0900-000012000000}"/>
              </a:ext>
            </a:extLst>
          </xdr:cNvPr>
          <xdr:cNvCxnSpPr/>
        </xdr:nvCxnSpPr>
        <xdr:spPr>
          <a:xfrm rot="5400000" flipH="1" flipV="1">
            <a:off x="6964807" y="4706275"/>
            <a:ext cx="681486" cy="170417"/>
          </a:xfrm>
          <a:prstGeom prst="bentConnector3">
            <a:avLst>
              <a:gd name="adj1" fmla="val 68789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Gerader Verbinder 13">
            <a:extLst>
              <a:ext uri="{FF2B5EF4-FFF2-40B4-BE49-F238E27FC236}">
                <a16:creationId xmlns:a16="http://schemas.microsoft.com/office/drawing/2014/main" id="{00000000-0008-0000-0900-000013000000}"/>
              </a:ext>
            </a:extLst>
          </xdr:cNvPr>
          <xdr:cNvCxnSpPr/>
        </xdr:nvCxnSpPr>
        <xdr:spPr>
          <a:xfrm rot="5400000">
            <a:off x="6648891" y="5103166"/>
            <a:ext cx="259741" cy="140144"/>
          </a:xfrm>
          <a:prstGeom prst="bentConnector3">
            <a:avLst>
              <a:gd name="adj1" fmla="val 56354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Gerader Verbinder 13">
            <a:extLst>
              <a:ext uri="{FF2B5EF4-FFF2-40B4-BE49-F238E27FC236}">
                <a16:creationId xmlns:a16="http://schemas.microsoft.com/office/drawing/2014/main" id="{00000000-0008-0000-0900-000014000000}"/>
              </a:ext>
            </a:extLst>
          </xdr:cNvPr>
          <xdr:cNvCxnSpPr/>
        </xdr:nvCxnSpPr>
        <xdr:spPr>
          <a:xfrm rot="16200000" flipV="1">
            <a:off x="7196086" y="5082633"/>
            <a:ext cx="215175" cy="169140"/>
          </a:xfrm>
          <a:prstGeom prst="bentConnector3">
            <a:avLst>
              <a:gd name="adj1" fmla="val 38495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6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5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4.xml"/><Relationship Id="rId5" Type="http://schemas.openxmlformats.org/officeDocument/2006/relationships/ctrlProp" Target="../ctrlProps/ctrlProp53.xml"/><Relationship Id="rId4" Type="http://schemas.openxmlformats.org/officeDocument/2006/relationships/ctrlProp" Target="../ctrlProps/ctrlProp52.xml"/><Relationship Id="rId9" Type="http://schemas.openxmlformats.org/officeDocument/2006/relationships/ctrlProp" Target="../ctrlProps/ctrlProp57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6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68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6.xml"/><Relationship Id="rId3" Type="http://schemas.openxmlformats.org/officeDocument/2006/relationships/vmlDrawing" Target="../drawings/vmlDrawing12.vml"/><Relationship Id="rId7" Type="http://schemas.openxmlformats.org/officeDocument/2006/relationships/ctrlProp" Target="../ctrlProps/ctrlProp75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6" Type="http://schemas.openxmlformats.org/officeDocument/2006/relationships/ctrlProp" Target="../ctrlProps/ctrlProp74.xml"/><Relationship Id="rId5" Type="http://schemas.openxmlformats.org/officeDocument/2006/relationships/ctrlProp" Target="../ctrlProps/ctrlProp73.xml"/><Relationship Id="rId10" Type="http://schemas.openxmlformats.org/officeDocument/2006/relationships/ctrlProp" Target="../ctrlProps/ctrlProp78.xml"/><Relationship Id="rId4" Type="http://schemas.openxmlformats.org/officeDocument/2006/relationships/ctrlProp" Target="../ctrlProps/ctrlProp72.xml"/><Relationship Id="rId9" Type="http://schemas.openxmlformats.org/officeDocument/2006/relationships/ctrlProp" Target="../ctrlProps/ctrlProp77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3.xml"/><Relationship Id="rId3" Type="http://schemas.openxmlformats.org/officeDocument/2006/relationships/vmlDrawing" Target="../drawings/vmlDrawing13.vml"/><Relationship Id="rId7" Type="http://schemas.openxmlformats.org/officeDocument/2006/relationships/ctrlProp" Target="../ctrlProps/ctrlProp8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81.xml"/><Relationship Id="rId5" Type="http://schemas.openxmlformats.org/officeDocument/2006/relationships/ctrlProp" Target="../ctrlProps/ctrlProp80.xml"/><Relationship Id="rId10" Type="http://schemas.openxmlformats.org/officeDocument/2006/relationships/ctrlProp" Target="../ctrlProps/ctrlProp85.xml"/><Relationship Id="rId4" Type="http://schemas.openxmlformats.org/officeDocument/2006/relationships/ctrlProp" Target="../ctrlProps/ctrlProp79.xml"/><Relationship Id="rId9" Type="http://schemas.openxmlformats.org/officeDocument/2006/relationships/ctrlProp" Target="../ctrlProps/ctrlProp8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3" Type="http://schemas.openxmlformats.org/officeDocument/2006/relationships/vmlDrawing" Target="../drawings/vmlDrawing14.vml"/><Relationship Id="rId7" Type="http://schemas.openxmlformats.org/officeDocument/2006/relationships/ctrlProp" Target="../ctrlProps/ctrlProp89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6" Type="http://schemas.openxmlformats.org/officeDocument/2006/relationships/ctrlProp" Target="../ctrlProps/ctrlProp88.xml"/><Relationship Id="rId5" Type="http://schemas.openxmlformats.org/officeDocument/2006/relationships/ctrlProp" Target="../ctrlProps/ctrlProp87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4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2.xml"/><Relationship Id="rId5" Type="http://schemas.openxmlformats.org/officeDocument/2006/relationships/ctrlProp" Target="../ctrlProps/ctrlProp41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4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8.xml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2">
    <tabColor theme="6"/>
  </sheetPr>
  <dimension ref="A1:M100"/>
  <sheetViews>
    <sheetView showGridLines="0" zoomScaleNormal="100" zoomScaleSheetLayoutView="85" workbookViewId="0">
      <selection activeCell="H3" sqref="H3"/>
    </sheetView>
  </sheetViews>
  <sheetFormatPr baseColWidth="10" defaultColWidth="11.5703125" defaultRowHeight="15"/>
  <cols>
    <col min="1" max="1" width="1.5703125" style="7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9" customWidth="1"/>
    <col min="10" max="10" width="1.85546875" customWidth="1"/>
    <col min="12" max="16384" width="11.5703125" style="1"/>
  </cols>
  <sheetData>
    <row r="1" spans="1:11" ht="5.0999999999999996" customHeight="1">
      <c r="I1" s="8"/>
      <c r="J1" s="9"/>
      <c r="K1" s="1"/>
    </row>
    <row r="2" spans="1:11" s="37" customFormat="1" ht="35.1" customHeight="1">
      <c r="A2" s="107" t="s">
        <v>93</v>
      </c>
      <c r="B2" s="7"/>
      <c r="F2" s="38"/>
      <c r="G2" s="38"/>
      <c r="H2" s="642" t="s">
        <v>262</v>
      </c>
      <c r="I2" s="642"/>
      <c r="J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</row>
    <row r="4" spans="1:11" s="10" customFormat="1" ht="6" customHeight="1">
      <c r="J4" s="2"/>
    </row>
    <row r="5" spans="1:11" s="10" customFormat="1" ht="12.95" customHeight="1">
      <c r="D5" s="141" t="s">
        <v>77</v>
      </c>
      <c r="H5" s="141"/>
      <c r="I5" s="142" t="s">
        <v>50</v>
      </c>
      <c r="J5" s="31"/>
    </row>
    <row r="6" spans="1:11" s="10" customFormat="1" ht="6" customHeight="1">
      <c r="I6" s="67"/>
      <c r="J6" s="2"/>
    </row>
    <row r="7" spans="1:11" s="11" customFormat="1" ht="12.95" customHeight="1">
      <c r="A7" s="641">
        <v>1</v>
      </c>
      <c r="B7" s="641"/>
      <c r="C7" s="76" t="s">
        <v>0</v>
      </c>
      <c r="D7" s="211">
        <f>I7/$I$38</f>
        <v>5.0000000000000001E-4</v>
      </c>
      <c r="E7" s="77"/>
      <c r="F7" s="77"/>
      <c r="G7" s="77"/>
      <c r="H7" s="211"/>
      <c r="I7" s="309">
        <v>15000</v>
      </c>
      <c r="J7" s="34"/>
    </row>
    <row r="8" spans="1:11" ht="6.95" customHeight="1">
      <c r="A8" s="4"/>
      <c r="B8" s="6"/>
      <c r="D8" s="8"/>
      <c r="E8" s="68"/>
      <c r="F8" s="68"/>
      <c r="G8" s="68"/>
      <c r="H8" s="8"/>
      <c r="I8" s="312"/>
      <c r="J8" s="44"/>
      <c r="K8" s="1"/>
    </row>
    <row r="9" spans="1:11" s="11" customFormat="1" ht="12.95" customHeight="1">
      <c r="A9" s="641">
        <v>2</v>
      </c>
      <c r="B9" s="641"/>
      <c r="C9" s="76" t="s">
        <v>1</v>
      </c>
      <c r="D9" s="211">
        <f>I9/$I$38</f>
        <v>0.31630000000000003</v>
      </c>
      <c r="E9" s="77"/>
      <c r="F9" s="77"/>
      <c r="G9" s="77"/>
      <c r="H9" s="211"/>
      <c r="I9" s="310">
        <v>9000000</v>
      </c>
      <c r="J9" s="34"/>
    </row>
    <row r="10" spans="1:11" ht="6.95" customHeight="1">
      <c r="D10" s="8"/>
      <c r="E10" s="68"/>
      <c r="F10" s="68"/>
      <c r="G10" s="68"/>
      <c r="H10" s="8"/>
      <c r="I10" s="312"/>
      <c r="J10" s="34"/>
      <c r="K10" s="1"/>
    </row>
    <row r="11" spans="1:11" s="10" customFormat="1" ht="12.95" customHeight="1">
      <c r="A11" s="641">
        <v>3</v>
      </c>
      <c r="B11" s="641"/>
      <c r="C11" s="76" t="s">
        <v>7</v>
      </c>
      <c r="D11" s="211">
        <f>I11/$I$38</f>
        <v>0.1986</v>
      </c>
      <c r="E11" s="77"/>
      <c r="F11" s="77"/>
      <c r="G11" s="77"/>
      <c r="H11" s="211"/>
      <c r="I11" s="311">
        <f>SUM(I12:I19)</f>
        <v>5650000</v>
      </c>
      <c r="J11" s="34"/>
    </row>
    <row r="12" spans="1:11" ht="12.95" customHeight="1">
      <c r="A12" s="78">
        <v>3</v>
      </c>
      <c r="B12" s="79" t="s">
        <v>17</v>
      </c>
      <c r="C12" s="80" t="s">
        <v>18</v>
      </c>
      <c r="D12" s="212"/>
      <c r="E12" s="81"/>
      <c r="F12" s="81"/>
      <c r="G12" s="81"/>
      <c r="H12" s="212"/>
      <c r="I12" s="310">
        <v>900000</v>
      </c>
      <c r="J12" s="34"/>
      <c r="K12" s="1"/>
    </row>
    <row r="13" spans="1:11" ht="12.95" customHeight="1">
      <c r="A13" s="82">
        <v>3</v>
      </c>
      <c r="B13" s="83" t="s">
        <v>19</v>
      </c>
      <c r="C13" s="84" t="s">
        <v>26</v>
      </c>
      <c r="D13" s="213"/>
      <c r="E13" s="85"/>
      <c r="F13" s="85"/>
      <c r="G13" s="85"/>
      <c r="H13" s="213"/>
      <c r="I13" s="310">
        <v>1200000</v>
      </c>
      <c r="J13" s="34"/>
      <c r="K13" s="1"/>
    </row>
    <row r="14" spans="1:11" ht="12.95" customHeight="1">
      <c r="A14" s="82">
        <v>3</v>
      </c>
      <c r="B14" s="83" t="s">
        <v>20</v>
      </c>
      <c r="C14" s="84" t="s">
        <v>27</v>
      </c>
      <c r="D14" s="213"/>
      <c r="E14" s="85"/>
      <c r="F14" s="85"/>
      <c r="G14" s="85"/>
      <c r="H14" s="213"/>
      <c r="I14" s="310">
        <v>1000000</v>
      </c>
      <c r="J14" s="34"/>
      <c r="K14" s="1"/>
    </row>
    <row r="15" spans="1:11" ht="12.95" customHeight="1">
      <c r="A15" s="82">
        <v>3</v>
      </c>
      <c r="B15" s="83" t="s">
        <v>21</v>
      </c>
      <c r="C15" s="84" t="s">
        <v>28</v>
      </c>
      <c r="D15" s="213"/>
      <c r="E15" s="85"/>
      <c r="F15" s="85"/>
      <c r="G15" s="85"/>
      <c r="H15" s="213"/>
      <c r="I15" s="310">
        <v>1500000</v>
      </c>
      <c r="J15" s="34"/>
      <c r="K15" s="1"/>
    </row>
    <row r="16" spans="1:11" ht="12.95" customHeight="1">
      <c r="A16" s="82">
        <v>3</v>
      </c>
      <c r="B16" s="83" t="s">
        <v>22</v>
      </c>
      <c r="C16" s="84" t="s">
        <v>31</v>
      </c>
      <c r="D16" s="213"/>
      <c r="E16" s="85"/>
      <c r="F16" s="85"/>
      <c r="G16" s="85"/>
      <c r="H16" s="213"/>
      <c r="I16" s="310">
        <v>600000</v>
      </c>
      <c r="J16" s="34"/>
      <c r="K16" s="1"/>
    </row>
    <row r="17" spans="1:11" ht="12.95" customHeight="1">
      <c r="A17" s="82">
        <v>3</v>
      </c>
      <c r="B17" s="83" t="s">
        <v>23</v>
      </c>
      <c r="C17" s="84" t="s">
        <v>29</v>
      </c>
      <c r="D17" s="213"/>
      <c r="E17" s="85"/>
      <c r="F17" s="85"/>
      <c r="G17" s="85"/>
      <c r="H17" s="213"/>
      <c r="I17" s="310">
        <v>150000</v>
      </c>
      <c r="J17" s="34"/>
      <c r="K17" s="1"/>
    </row>
    <row r="18" spans="1:11" ht="12.95" customHeight="1">
      <c r="A18" s="82">
        <v>3</v>
      </c>
      <c r="B18" s="83" t="s">
        <v>24</v>
      </c>
      <c r="C18" s="84" t="s">
        <v>30</v>
      </c>
      <c r="D18" s="213"/>
      <c r="E18" s="85"/>
      <c r="F18" s="85"/>
      <c r="G18" s="85"/>
      <c r="H18" s="213"/>
      <c r="I18" s="310">
        <v>0</v>
      </c>
      <c r="J18" s="34"/>
      <c r="K18" s="1"/>
    </row>
    <row r="19" spans="1:11" ht="12.95" customHeight="1">
      <c r="A19" s="82">
        <v>3</v>
      </c>
      <c r="B19" s="83" t="s">
        <v>25</v>
      </c>
      <c r="C19" s="84" t="s">
        <v>8</v>
      </c>
      <c r="D19" s="213"/>
      <c r="E19" s="85"/>
      <c r="F19" s="85"/>
      <c r="G19" s="85"/>
      <c r="H19" s="213"/>
      <c r="I19" s="310">
        <v>300000</v>
      </c>
      <c r="J19" s="34"/>
      <c r="K19" s="1"/>
    </row>
    <row r="20" spans="1:11" ht="6.95" customHeight="1">
      <c r="D20" s="8"/>
      <c r="E20" s="68"/>
      <c r="F20" s="68"/>
      <c r="G20" s="68"/>
      <c r="H20" s="8"/>
      <c r="I20" s="312"/>
      <c r="J20" s="151"/>
      <c r="K20" s="1"/>
    </row>
    <row r="21" spans="1:11" s="10" customFormat="1" ht="12.75" customHeight="1">
      <c r="A21" s="641">
        <v>4</v>
      </c>
      <c r="B21" s="641"/>
      <c r="C21" s="76" t="s">
        <v>2</v>
      </c>
      <c r="D21" s="211">
        <f>I21/$I$38</f>
        <v>0.2109</v>
      </c>
      <c r="E21" s="77"/>
      <c r="F21" s="77"/>
      <c r="G21" s="77"/>
      <c r="H21" s="211"/>
      <c r="I21" s="310">
        <v>6000000</v>
      </c>
      <c r="J21" s="34"/>
    </row>
    <row r="22" spans="1:11" ht="6.95" customHeight="1">
      <c r="A22" s="4"/>
      <c r="B22" s="6"/>
      <c r="D22" s="8"/>
      <c r="E22" s="68"/>
      <c r="F22" s="68"/>
      <c r="G22" s="68"/>
      <c r="H22" s="8"/>
      <c r="I22" s="312"/>
      <c r="J22" s="33"/>
      <c r="K22" s="1"/>
    </row>
    <row r="23" spans="1:11" s="11" customFormat="1" ht="12.95" customHeight="1">
      <c r="A23" s="643">
        <v>5</v>
      </c>
      <c r="B23" s="643"/>
      <c r="C23" s="76" t="s">
        <v>9</v>
      </c>
      <c r="D23" s="211">
        <f>I23/$I$38</f>
        <v>5.8000000000000003E-2</v>
      </c>
      <c r="E23" s="77"/>
      <c r="F23" s="77"/>
      <c r="G23" s="77"/>
      <c r="H23" s="211"/>
      <c r="I23" s="311">
        <f>SUM(I24:I26)</f>
        <v>1650000</v>
      </c>
      <c r="J23" s="34"/>
    </row>
    <row r="24" spans="1:11" ht="12.95" customHeight="1">
      <c r="A24" s="82">
        <v>5</v>
      </c>
      <c r="B24" s="84" t="s">
        <v>17</v>
      </c>
      <c r="C24" s="84" t="s">
        <v>126</v>
      </c>
      <c r="D24" s="213"/>
      <c r="E24" s="85"/>
      <c r="F24" s="85"/>
      <c r="G24" s="85"/>
      <c r="H24" s="213"/>
      <c r="I24" s="310">
        <v>600000</v>
      </c>
      <c r="J24" s="34"/>
      <c r="K24" s="1"/>
    </row>
    <row r="25" spans="1:11" ht="12.95" customHeight="1">
      <c r="A25" s="82">
        <v>5</v>
      </c>
      <c r="B25" s="84" t="s">
        <v>19</v>
      </c>
      <c r="C25" s="84" t="s">
        <v>127</v>
      </c>
      <c r="D25" s="213"/>
      <c r="E25" s="85"/>
      <c r="F25" s="85"/>
      <c r="G25" s="85"/>
      <c r="H25" s="213"/>
      <c r="I25" s="310">
        <v>1000000</v>
      </c>
      <c r="J25" s="34"/>
      <c r="K25" s="1"/>
    </row>
    <row r="26" spans="1:11" ht="12.95" customHeight="1">
      <c r="A26" s="82">
        <v>5</v>
      </c>
      <c r="B26" s="84" t="s">
        <v>20</v>
      </c>
      <c r="C26" s="84" t="s">
        <v>52</v>
      </c>
      <c r="D26" s="213"/>
      <c r="E26" s="85"/>
      <c r="F26" s="85"/>
      <c r="G26" s="85"/>
      <c r="H26" s="213"/>
      <c r="I26" s="310">
        <v>50000</v>
      </c>
      <c r="J26" s="34"/>
      <c r="K26" s="1"/>
    </row>
    <row r="27" spans="1:11" ht="6.95" customHeight="1">
      <c r="D27" s="8"/>
      <c r="E27" s="68"/>
      <c r="F27" s="68"/>
      <c r="G27" s="68"/>
      <c r="H27" s="8"/>
      <c r="I27" s="312"/>
      <c r="J27" s="34"/>
      <c r="K27" s="1"/>
    </row>
    <row r="28" spans="1:11" s="10" customFormat="1" ht="12.95" customHeight="1">
      <c r="A28" s="641">
        <v>6</v>
      </c>
      <c r="B28" s="641"/>
      <c r="C28" s="76" t="s">
        <v>3</v>
      </c>
      <c r="D28" s="211">
        <f>I28/$I$38</f>
        <v>1.7600000000000001E-2</v>
      </c>
      <c r="E28" s="77"/>
      <c r="F28" s="77"/>
      <c r="G28" s="77"/>
      <c r="H28" s="211"/>
      <c r="I28" s="310">
        <v>500000</v>
      </c>
      <c r="J28" s="34"/>
    </row>
    <row r="29" spans="1:11" ht="6.95" customHeight="1">
      <c r="A29" s="13"/>
      <c r="B29" s="5"/>
      <c r="D29" s="214"/>
      <c r="E29" s="70"/>
      <c r="F29" s="70"/>
      <c r="G29" s="70"/>
      <c r="H29" s="214"/>
      <c r="I29" s="312"/>
      <c r="J29" s="34"/>
      <c r="K29" s="1"/>
    </row>
    <row r="30" spans="1:11" s="11" customFormat="1" ht="12.95" customHeight="1">
      <c r="A30" s="641">
        <v>7</v>
      </c>
      <c r="B30" s="641"/>
      <c r="C30" s="76" t="s">
        <v>111</v>
      </c>
      <c r="D30" s="211">
        <f>I30/$I$38</f>
        <v>0.1406</v>
      </c>
      <c r="E30" s="77"/>
      <c r="F30" s="77"/>
      <c r="G30" s="77"/>
      <c r="H30" s="211"/>
      <c r="I30" s="310">
        <v>4000000</v>
      </c>
      <c r="J30" s="34"/>
    </row>
    <row r="31" spans="1:11" ht="6.95" customHeight="1">
      <c r="D31" s="214"/>
      <c r="E31" s="70"/>
      <c r="F31" s="70"/>
      <c r="G31" s="70"/>
      <c r="H31" s="214"/>
      <c r="I31" s="312"/>
      <c r="J31" s="34"/>
      <c r="K31" s="1"/>
    </row>
    <row r="32" spans="1:11" s="11" customFormat="1" ht="12.95" customHeight="1">
      <c r="A32" s="641">
        <v>8</v>
      </c>
      <c r="B32" s="641"/>
      <c r="C32" s="76" t="s">
        <v>129</v>
      </c>
      <c r="D32" s="211">
        <f>I32/$I$38</f>
        <v>1.2999999999999999E-3</v>
      </c>
      <c r="E32" s="77"/>
      <c r="F32" s="77"/>
      <c r="G32" s="77"/>
      <c r="H32" s="211"/>
      <c r="I32" s="310">
        <v>36000</v>
      </c>
      <c r="J32" s="34"/>
    </row>
    <row r="33" spans="1:11" ht="6.95" customHeight="1">
      <c r="D33" s="214"/>
      <c r="E33" s="70"/>
      <c r="F33" s="70"/>
      <c r="G33" s="70"/>
      <c r="H33" s="214"/>
      <c r="I33" s="312"/>
      <c r="J33" s="151"/>
      <c r="K33" s="1"/>
    </row>
    <row r="34" spans="1:11" s="11" customFormat="1" ht="12.95" customHeight="1">
      <c r="A34" s="641">
        <v>9</v>
      </c>
      <c r="B34" s="641"/>
      <c r="C34" s="76" t="s">
        <v>10</v>
      </c>
      <c r="D34" s="211">
        <f>I34/$I$38</f>
        <v>5.62E-2</v>
      </c>
      <c r="E34" s="77"/>
      <c r="F34" s="77"/>
      <c r="G34" s="77"/>
      <c r="H34" s="211"/>
      <c r="I34" s="310">
        <v>1600000</v>
      </c>
      <c r="J34" s="34"/>
    </row>
    <row r="35" spans="1:11" ht="12" customHeight="1">
      <c r="A35" s="13"/>
      <c r="B35" s="5"/>
      <c r="F35" s="32"/>
      <c r="G35" s="32"/>
      <c r="H35" s="32"/>
      <c r="I35" s="227"/>
      <c r="J35" s="1"/>
      <c r="K35" s="1"/>
    </row>
    <row r="36" spans="1:11" ht="15" customHeight="1">
      <c r="A36" s="66" t="s">
        <v>161</v>
      </c>
      <c r="B36" s="63"/>
      <c r="C36" s="63"/>
      <c r="D36" s="215">
        <f>SUM(D9:D21)</f>
        <v>0.7258</v>
      </c>
      <c r="E36" s="63"/>
      <c r="F36" s="71"/>
      <c r="G36" s="71"/>
      <c r="H36" s="215"/>
      <c r="I36" s="313">
        <f>I9+I11+I21</f>
        <v>20650000</v>
      </c>
    </row>
    <row r="37" spans="1:11" ht="5.0999999999999996" customHeight="1">
      <c r="E37" s="70"/>
      <c r="I37" s="252"/>
    </row>
    <row r="38" spans="1:11" ht="15" customHeight="1">
      <c r="A38" s="66" t="s">
        <v>160</v>
      </c>
      <c r="B38" s="63"/>
      <c r="C38" s="63"/>
      <c r="D38" s="140">
        <f>SUM(D7:D34)</f>
        <v>1</v>
      </c>
      <c r="E38" s="63"/>
      <c r="F38" s="71"/>
      <c r="G38" s="71"/>
      <c r="H38" s="140"/>
      <c r="I38" s="313">
        <f>SUM(I7+I9+I11+I21+I23+I28+I30+I32+I34)</f>
        <v>28451000</v>
      </c>
      <c r="J38" s="23"/>
      <c r="K38" s="1"/>
    </row>
    <row r="39" spans="1:11" ht="8.1" customHeight="1"/>
    <row r="40" spans="1:11" ht="12.75" customHeight="1">
      <c r="A40" s="260"/>
      <c r="B40" s="261" t="s">
        <v>159</v>
      </c>
      <c r="C40" s="262"/>
      <c r="D40" s="77"/>
      <c r="E40" s="77"/>
      <c r="F40" s="77"/>
      <c r="G40" s="77"/>
      <c r="H40" s="77"/>
      <c r="I40" s="281">
        <v>120000</v>
      </c>
      <c r="J40" s="263"/>
    </row>
    <row r="41" spans="1:11" ht="29.25" customHeight="1"/>
    <row r="42" spans="1:11" s="37" customFormat="1" ht="12.75" customHeight="1">
      <c r="A42" s="107" t="s">
        <v>89</v>
      </c>
      <c r="B42" s="7"/>
      <c r="E42" s="38"/>
      <c r="F42" s="38"/>
      <c r="G42" s="38"/>
      <c r="H42" s="38"/>
      <c r="I42" s="43"/>
      <c r="J42" s="39"/>
      <c r="K42" s="39"/>
    </row>
    <row r="43" spans="1:11" s="10" customFormat="1" ht="4.5" customHeight="1">
      <c r="A43" s="73"/>
      <c r="B43" s="73"/>
      <c r="C43" s="73"/>
      <c r="D43" s="73"/>
      <c r="E43" s="73"/>
      <c r="F43" s="73"/>
      <c r="G43" s="73"/>
      <c r="H43" s="73"/>
      <c r="I43" s="74"/>
    </row>
    <row r="44" spans="1:11" s="10" customFormat="1" ht="4.5" customHeight="1">
      <c r="I44" s="2"/>
    </row>
    <row r="45" spans="1:11" s="10" customFormat="1" ht="12.75" customHeight="1">
      <c r="E45" s="280" t="s">
        <v>104</v>
      </c>
      <c r="F45" s="280" t="s">
        <v>95</v>
      </c>
      <c r="G45" s="149"/>
      <c r="H45" s="183"/>
      <c r="I45" s="2"/>
    </row>
    <row r="46" spans="1:11" s="10" customFormat="1" ht="4.5" customHeight="1">
      <c r="I46" s="2"/>
    </row>
    <row r="47" spans="1:11" s="10" customFormat="1" ht="3.95" customHeight="1">
      <c r="G47" s="149"/>
      <c r="H47" s="183"/>
      <c r="I47" s="2"/>
    </row>
    <row r="48" spans="1:11" s="11" customFormat="1" ht="12.95" customHeight="1">
      <c r="A48" s="126" t="s">
        <v>149</v>
      </c>
      <c r="B48" s="127"/>
      <c r="C48" s="128"/>
      <c r="D48" s="128"/>
      <c r="E48" s="277">
        <f>I48/$I$36</f>
        <v>1.8599999999999998E-2</v>
      </c>
      <c r="F48" s="276">
        <f>I48/$I$38</f>
        <v>1.35E-2</v>
      </c>
      <c r="G48" s="128"/>
      <c r="H48" s="128"/>
      <c r="I48" s="129">
        <f>'GP2b Mgt. NEU'!I86</f>
        <v>384709</v>
      </c>
    </row>
    <row r="49" spans="1:10" ht="4.5" customHeight="1">
      <c r="A49" s="37"/>
      <c r="B49" s="37"/>
      <c r="E49" s="251"/>
      <c r="F49" s="278"/>
      <c r="I49" s="123"/>
    </row>
    <row r="50" spans="1:10" s="122" customFormat="1" ht="12.95" customHeight="1">
      <c r="A50" s="126" t="s">
        <v>150</v>
      </c>
      <c r="B50" s="127"/>
      <c r="C50" s="128"/>
      <c r="D50" s="128"/>
      <c r="E50" s="277">
        <f>I50/$I$36</f>
        <v>4.5999999999999999E-3</v>
      </c>
      <c r="F50" s="276">
        <f>I50/$I$38</f>
        <v>3.3E-3</v>
      </c>
      <c r="G50" s="128"/>
      <c r="H50" s="128"/>
      <c r="I50" s="129">
        <f>BauKG!I79</f>
        <v>95259</v>
      </c>
    </row>
    <row r="51" spans="1:10" ht="4.5" customHeight="1">
      <c r="A51" s="37"/>
      <c r="B51" s="37"/>
      <c r="E51" s="251"/>
      <c r="F51" s="278"/>
      <c r="I51" s="123"/>
    </row>
    <row r="52" spans="1:10" s="122" customFormat="1" ht="12.75" customHeight="1">
      <c r="A52" s="126" t="s">
        <v>151</v>
      </c>
      <c r="B52" s="127"/>
      <c r="C52" s="128"/>
      <c r="D52" s="128"/>
      <c r="E52" s="277">
        <f>I52/$I$36</f>
        <v>9.0399999999999994E-2</v>
      </c>
      <c r="F52" s="276">
        <f>I52/$I$38</f>
        <v>6.5600000000000006E-2</v>
      </c>
      <c r="G52" s="128"/>
      <c r="H52" s="128"/>
      <c r="I52" s="129">
        <f>'Objektplanung Architektur'!I92</f>
        <v>1867720</v>
      </c>
    </row>
    <row r="53" spans="1:10" ht="4.5" customHeight="1">
      <c r="A53" s="4"/>
      <c r="B53" s="6"/>
      <c r="E53" s="251"/>
      <c r="F53" s="278"/>
      <c r="I53" s="123"/>
    </row>
    <row r="54" spans="1:10" s="11" customFormat="1" ht="12.95" customHeight="1">
      <c r="A54" s="126" t="s">
        <v>152</v>
      </c>
      <c r="B54" s="127"/>
      <c r="C54" s="128"/>
      <c r="D54" s="128"/>
      <c r="E54" s="277">
        <f>I54/$I$36</f>
        <v>8.8999999999999999E-3</v>
      </c>
      <c r="F54" s="276">
        <f>I54/$I$38</f>
        <v>6.4999999999999997E-3</v>
      </c>
      <c r="G54" s="128"/>
      <c r="H54" s="128"/>
      <c r="I54" s="129">
        <f>'ED zusammen 2023'!I79</f>
        <v>183756</v>
      </c>
    </row>
    <row r="55" spans="1:10" ht="4.5" customHeight="1">
      <c r="A55" s="37"/>
      <c r="B55" s="37"/>
      <c r="E55" s="251"/>
      <c r="F55" s="278"/>
      <c r="I55" s="123"/>
    </row>
    <row r="56" spans="1:10" s="122" customFormat="1" ht="12.95" customHeight="1">
      <c r="A56" s="126" t="s">
        <v>153</v>
      </c>
      <c r="B56" s="127"/>
      <c r="C56" s="128"/>
      <c r="D56" s="128"/>
      <c r="E56" s="277">
        <f>I56/$I$36</f>
        <v>3.3999999999999998E-3</v>
      </c>
      <c r="F56" s="276">
        <f>I56/$I$38</f>
        <v>2.5000000000000001E-3</v>
      </c>
      <c r="G56" s="128"/>
      <c r="H56" s="128"/>
      <c r="I56" s="129">
        <f>Freianlagen!I77</f>
        <v>69924</v>
      </c>
    </row>
    <row r="57" spans="1:10" ht="4.5" customHeight="1">
      <c r="A57" s="13"/>
      <c r="B57" s="5"/>
      <c r="E57" s="279"/>
      <c r="F57" s="278"/>
      <c r="I57" s="123"/>
      <c r="J57" s="9"/>
    </row>
    <row r="58" spans="1:10" s="11" customFormat="1" ht="12.95" customHeight="1">
      <c r="A58" s="126" t="s">
        <v>154</v>
      </c>
      <c r="B58" s="127"/>
      <c r="C58" s="128"/>
      <c r="D58" s="128"/>
      <c r="E58" s="277">
        <f>I58/$I$36</f>
        <v>3.04E-2</v>
      </c>
      <c r="F58" s="276">
        <f>I58/$I$38</f>
        <v>2.2100000000000002E-2</v>
      </c>
      <c r="G58" s="128"/>
      <c r="H58" s="128"/>
      <c r="I58" s="129">
        <f>Tragwerksplanung!I83</f>
        <v>628100</v>
      </c>
      <c r="J58" s="3"/>
    </row>
    <row r="59" spans="1:10" ht="4.5" customHeight="1">
      <c r="A59" s="37"/>
      <c r="B59" s="37"/>
      <c r="E59" s="279"/>
      <c r="F59" s="278"/>
      <c r="I59" s="123"/>
      <c r="J59" s="9"/>
    </row>
    <row r="60" spans="1:10" s="11" customFormat="1" ht="12.95" customHeight="1">
      <c r="A60" s="126" t="s">
        <v>155</v>
      </c>
      <c r="B60" s="127"/>
      <c r="C60" s="128"/>
      <c r="D60" s="128"/>
      <c r="E60" s="277">
        <f>I60/$I$36</f>
        <v>1.2999999999999999E-3</v>
      </c>
      <c r="F60" s="276">
        <f>I60/$I$38</f>
        <v>8.9999999999999998E-4</v>
      </c>
      <c r="G60" s="128"/>
      <c r="H60" s="128"/>
      <c r="I60" s="129">
        <f>'BPH-Thermisch'!I82</f>
        <v>25911</v>
      </c>
      <c r="J60" s="31"/>
    </row>
    <row r="61" spans="1:10" ht="4.5" customHeight="1">
      <c r="A61" s="37"/>
      <c r="B61" s="37"/>
      <c r="E61" s="279"/>
      <c r="F61" s="278"/>
      <c r="I61" s="123"/>
      <c r="J61" s="23"/>
    </row>
    <row r="62" spans="1:10" s="11" customFormat="1" ht="12.95" customHeight="1">
      <c r="A62" s="126" t="s">
        <v>156</v>
      </c>
      <c r="B62" s="127"/>
      <c r="C62" s="128"/>
      <c r="D62" s="128"/>
      <c r="E62" s="277">
        <f>I62/$I$36</f>
        <v>1.2999999999999999E-3</v>
      </c>
      <c r="F62" s="276">
        <f>I62/$I$38</f>
        <v>8.9999999999999998E-4</v>
      </c>
      <c r="G62" s="128"/>
      <c r="H62" s="128"/>
      <c r="I62" s="129">
        <f>'BPH-Schallschutz'!I82</f>
        <v>26370</v>
      </c>
      <c r="J62" s="23"/>
    </row>
    <row r="63" spans="1:10" ht="4.5" customHeight="1">
      <c r="A63" s="37"/>
      <c r="B63" s="37"/>
      <c r="E63" s="251"/>
      <c r="F63" s="278"/>
      <c r="I63" s="125"/>
      <c r="J63" s="23"/>
    </row>
    <row r="64" spans="1:10" s="11" customFormat="1" ht="12.95" customHeight="1">
      <c r="A64" s="126" t="s">
        <v>157</v>
      </c>
      <c r="B64" s="127"/>
      <c r="C64" s="128"/>
      <c r="D64" s="128"/>
      <c r="E64" s="277">
        <f>I64/$I$36</f>
        <v>2.0000000000000001E-4</v>
      </c>
      <c r="F64" s="276">
        <f>I64/$I$38</f>
        <v>1E-4</v>
      </c>
      <c r="G64" s="128"/>
      <c r="H64" s="128"/>
      <c r="I64" s="129">
        <f>'BPH-Raumakustik'!I83</f>
        <v>3335</v>
      </c>
    </row>
    <row r="65" spans="1:13" ht="4.5" customHeight="1">
      <c r="A65" s="37"/>
      <c r="B65" s="37"/>
      <c r="E65" s="251"/>
      <c r="F65" s="278"/>
      <c r="I65" s="123"/>
    </row>
    <row r="66" spans="1:13" s="122" customFormat="1" ht="12.95" customHeight="1">
      <c r="A66" s="126" t="s">
        <v>225</v>
      </c>
      <c r="B66" s="127"/>
      <c r="C66" s="128"/>
      <c r="D66" s="128"/>
      <c r="E66" s="277">
        <f>I66/$I$36</f>
        <v>1.8499999999999999E-2</v>
      </c>
      <c r="F66" s="276">
        <f>I66/$I$38</f>
        <v>1.34E-2</v>
      </c>
      <c r="G66" s="211"/>
      <c r="H66" s="211"/>
      <c r="I66" s="129">
        <f>TA_SanitärHeizungKlimaLüftung!I89</f>
        <v>382186</v>
      </c>
      <c r="J66" s="537"/>
      <c r="K66" s="11"/>
    </row>
    <row r="67" spans="1:13" ht="4.5" customHeight="1">
      <c r="A67" s="37"/>
      <c r="B67" s="37"/>
      <c r="E67" s="8"/>
      <c r="F67" s="68"/>
      <c r="G67" s="8"/>
      <c r="H67" s="8"/>
      <c r="I67" s="538"/>
      <c r="J67" s="539"/>
      <c r="K67" s="123"/>
      <c r="L67"/>
      <c r="M67"/>
    </row>
    <row r="68" spans="1:13" s="122" customFormat="1" ht="12.95" customHeight="1">
      <c r="A68" s="126" t="s">
        <v>226</v>
      </c>
      <c r="B68" s="127"/>
      <c r="C68" s="128"/>
      <c r="D68" s="128"/>
      <c r="E68" s="277">
        <f>I68/$I$36</f>
        <v>1.35E-2</v>
      </c>
      <c r="F68" s="276">
        <f>I68/$I$38</f>
        <v>9.7999999999999997E-3</v>
      </c>
      <c r="G68" s="211"/>
      <c r="H68" s="211"/>
      <c r="I68" s="129">
        <f>TA_Elektro!I89</f>
        <v>279601</v>
      </c>
      <c r="J68" s="537"/>
      <c r="K68" s="11"/>
    </row>
    <row r="69" spans="1:13" ht="4.5" customHeight="1">
      <c r="A69" s="37"/>
      <c r="B69" s="37"/>
      <c r="E69" s="8"/>
      <c r="F69" s="68"/>
      <c r="G69" s="8"/>
      <c r="H69" s="8"/>
      <c r="I69" s="538"/>
      <c r="J69" s="539"/>
      <c r="K69" s="11"/>
      <c r="L69"/>
      <c r="M69"/>
    </row>
    <row r="70" spans="1:13" s="122" customFormat="1" ht="12.95" customHeight="1">
      <c r="A70" s="126" t="s">
        <v>227</v>
      </c>
      <c r="B70" s="127"/>
      <c r="C70" s="128"/>
      <c r="D70" s="128"/>
      <c r="E70" s="277">
        <f>I70/$I$36</f>
        <v>3.2000000000000002E-3</v>
      </c>
      <c r="F70" s="276">
        <f>I70/$I$38</f>
        <v>2.3E-3</v>
      </c>
      <c r="G70" s="211"/>
      <c r="H70" s="211"/>
      <c r="I70" s="129">
        <f>TA_Fördertechnik!I89</f>
        <v>66789</v>
      </c>
      <c r="J70" s="537"/>
      <c r="K70" s="11"/>
    </row>
    <row r="71" spans="1:13" ht="4.5" customHeight="1">
      <c r="A71" s="37"/>
      <c r="B71" s="37"/>
      <c r="E71" s="68"/>
      <c r="F71" s="68"/>
      <c r="G71" s="8"/>
      <c r="H71" s="8"/>
      <c r="I71" s="538"/>
      <c r="J71" s="539"/>
      <c r="K71" s="11"/>
      <c r="L71"/>
      <c r="M71"/>
    </row>
    <row r="72" spans="1:13" s="122" customFormat="1" ht="12.95" customHeight="1">
      <c r="A72" s="126" t="s">
        <v>228</v>
      </c>
      <c r="B72" s="127"/>
      <c r="C72" s="128"/>
      <c r="D72" s="128"/>
      <c r="E72" s="277">
        <f>I72/$I$36</f>
        <v>4.4000000000000003E-3</v>
      </c>
      <c r="F72" s="276">
        <f>I72/$I$38</f>
        <v>3.2000000000000002E-3</v>
      </c>
      <c r="G72" s="211"/>
      <c r="H72" s="211"/>
      <c r="I72" s="129">
        <f>TA_Gebäudeautomation!I89</f>
        <v>91344</v>
      </c>
      <c r="J72" s="537"/>
      <c r="K72" s="11"/>
    </row>
    <row r="73" spans="1:13" ht="4.5" customHeight="1">
      <c r="A73" s="37"/>
      <c r="B73" s="37"/>
      <c r="E73" s="251"/>
      <c r="F73" s="314"/>
      <c r="I73" s="123"/>
    </row>
    <row r="74" spans="1:13" s="122" customFormat="1" ht="12.95" customHeight="1">
      <c r="A74" s="126" t="s">
        <v>234</v>
      </c>
      <c r="B74" s="127"/>
      <c r="C74" s="128"/>
      <c r="D74" s="128"/>
      <c r="E74" s="277">
        <f>I74/$I$36</f>
        <v>3.2000000000000002E-3</v>
      </c>
      <c r="F74" s="276">
        <f>I74/$I$38</f>
        <v>2.3E-3</v>
      </c>
      <c r="G74" s="128"/>
      <c r="H74" s="128"/>
      <c r="I74" s="129">
        <f>Brandschutz!I84</f>
        <v>65946</v>
      </c>
    </row>
    <row r="75" spans="1:13" ht="12.75" customHeight="1">
      <c r="I75" s="152"/>
    </row>
    <row r="76" spans="1:13" s="24" customFormat="1" ht="12.75">
      <c r="A76" s="94" t="s">
        <v>141</v>
      </c>
      <c r="B76" s="95"/>
      <c r="C76" s="96"/>
      <c r="D76" s="96"/>
      <c r="E76" s="98"/>
      <c r="F76" s="98"/>
      <c r="G76" s="98"/>
      <c r="H76" s="134"/>
      <c r="I76" s="99">
        <f>SUM(I48:I74)</f>
        <v>4170950</v>
      </c>
      <c r="J76" s="60"/>
      <c r="K76" s="62"/>
    </row>
    <row r="77" spans="1:13" s="24" customFormat="1" ht="4.5" customHeight="1">
      <c r="A77" s="25"/>
      <c r="B77" s="26"/>
      <c r="C77" s="26"/>
      <c r="D77" s="46"/>
      <c r="E77" s="47"/>
      <c r="F77" s="47"/>
      <c r="G77" s="47"/>
      <c r="H77" s="48"/>
      <c r="I77" s="91"/>
      <c r="K77" s="26"/>
    </row>
    <row r="78" spans="1:13" s="24" customFormat="1" ht="12.75">
      <c r="A78" s="49" t="s">
        <v>13</v>
      </c>
      <c r="B78" s="25"/>
      <c r="C78" s="26"/>
      <c r="D78" s="26"/>
      <c r="E78" s="47"/>
      <c r="F78" s="47"/>
      <c r="G78" s="47"/>
      <c r="H78" s="131"/>
      <c r="I78" s="92">
        <f>'GP2b Mgt. NEU'!I88+BauKG!I81+'Objektplanung Architektur'!I94+'ED zusammen 2023'!I81+Freianlagen!I79+Tragwerksplanung!I85+'BPH-Thermisch'!I84+'BPH-Schallschutz'!I84+'BPH-Raumakustik'!I85+TA_SanitärHeizungKlimaLüftung!I91+TA_Elektro!I91+TA_Fördertechnik!I91+TA_Gebäudeautomation!I91+Brandschutz!I86</f>
        <v>166837</v>
      </c>
      <c r="J78" s="49"/>
      <c r="K78" s="26"/>
    </row>
    <row r="79" spans="1:13" s="24" customFormat="1" ht="3" customHeight="1">
      <c r="A79" s="50"/>
      <c r="B79" s="51"/>
      <c r="C79" s="52"/>
      <c r="D79" s="52"/>
      <c r="E79" s="56"/>
      <c r="F79" s="56"/>
      <c r="G79" s="56"/>
      <c r="H79" s="132"/>
      <c r="I79" s="93"/>
      <c r="K79" s="26"/>
    </row>
    <row r="80" spans="1:13" s="24" customFormat="1" ht="3" customHeight="1">
      <c r="A80" s="25"/>
      <c r="B80" s="26"/>
      <c r="C80" s="26"/>
      <c r="D80" s="58"/>
      <c r="E80" s="58"/>
      <c r="F80" s="58"/>
      <c r="G80" s="58"/>
      <c r="H80" s="133"/>
      <c r="I80" s="91"/>
      <c r="K80" s="26"/>
    </row>
    <row r="81" spans="1:11" s="24" customFormat="1" ht="12.75">
      <c r="A81" s="53" t="s">
        <v>114</v>
      </c>
      <c r="B81" s="55"/>
      <c r="C81" s="55"/>
      <c r="D81" s="27"/>
      <c r="E81" s="27"/>
      <c r="G81" s="264" t="s">
        <v>142</v>
      </c>
      <c r="H81" s="216">
        <f>I81/I38</f>
        <v>0.1525</v>
      </c>
      <c r="I81" s="92">
        <f>I76+I78</f>
        <v>4337787</v>
      </c>
      <c r="J81" s="53"/>
      <c r="K81" s="55"/>
    </row>
    <row r="82" spans="1:11" s="24" customFormat="1" ht="4.5" customHeight="1">
      <c r="A82" s="54"/>
      <c r="B82" s="55"/>
      <c r="C82" s="55"/>
      <c r="D82" s="27"/>
      <c r="E82" s="27"/>
      <c r="F82" s="27"/>
      <c r="G82" s="27"/>
      <c r="H82" s="217"/>
      <c r="I82" s="92"/>
      <c r="J82" s="53"/>
      <c r="K82" s="55"/>
    </row>
    <row r="83" spans="1:11" s="24" customFormat="1" ht="12.75">
      <c r="A83" s="24" t="s">
        <v>112</v>
      </c>
      <c r="B83" s="55"/>
      <c r="C83" s="55"/>
      <c r="D83" s="27"/>
      <c r="E83" s="27"/>
      <c r="F83" s="27"/>
      <c r="G83" s="27"/>
      <c r="H83" s="218">
        <v>0.02</v>
      </c>
      <c r="I83" s="91">
        <f>H83*I81</f>
        <v>86756</v>
      </c>
      <c r="J83" s="53"/>
      <c r="K83" s="55"/>
    </row>
    <row r="84" spans="1:11" s="24" customFormat="1" ht="3" customHeight="1">
      <c r="A84" s="54"/>
      <c r="B84" s="55"/>
      <c r="C84" s="55"/>
      <c r="D84" s="27"/>
      <c r="E84" s="27"/>
      <c r="F84" s="27"/>
      <c r="G84" s="27"/>
      <c r="H84" s="217"/>
      <c r="I84" s="91"/>
      <c r="J84" s="53"/>
      <c r="K84" s="55"/>
    </row>
    <row r="85" spans="1:11" s="24" customFormat="1" ht="12.75">
      <c r="A85" s="24" t="s">
        <v>96</v>
      </c>
      <c r="B85" s="55"/>
      <c r="C85" s="55"/>
      <c r="D85" s="27"/>
      <c r="F85" s="150" t="s">
        <v>97</v>
      </c>
      <c r="G85" s="150"/>
      <c r="H85" s="218">
        <v>1.4999999999999999E-2</v>
      </c>
      <c r="I85" s="91">
        <f>H85*I81</f>
        <v>65067</v>
      </c>
      <c r="J85" s="53"/>
      <c r="K85" s="55"/>
    </row>
    <row r="86" spans="1:11" s="24" customFormat="1" ht="3" customHeight="1">
      <c r="A86" s="54"/>
      <c r="B86" s="55"/>
      <c r="C86" s="55"/>
      <c r="D86" s="27"/>
      <c r="E86" s="27"/>
      <c r="F86" s="27"/>
      <c r="G86" s="27"/>
      <c r="H86" s="28"/>
      <c r="I86" s="91"/>
      <c r="J86" s="53"/>
      <c r="K86" s="55"/>
    </row>
    <row r="87" spans="1:11" s="24" customFormat="1" ht="12.75">
      <c r="A87" s="24" t="s">
        <v>94</v>
      </c>
      <c r="B87" s="55"/>
      <c r="C87" s="55"/>
      <c r="D87" s="27"/>
      <c r="E87" s="27"/>
      <c r="F87" s="27"/>
      <c r="G87" s="27"/>
      <c r="H87" s="218">
        <v>1.4999999999999999E-2</v>
      </c>
      <c r="I87" s="91">
        <f>I81*H87</f>
        <v>65067</v>
      </c>
      <c r="J87" s="53"/>
      <c r="K87" s="55"/>
    </row>
    <row r="88" spans="1:11" s="24" customFormat="1" ht="3" customHeight="1">
      <c r="A88" s="54"/>
      <c r="B88" s="55"/>
      <c r="C88" s="55"/>
      <c r="D88" s="27"/>
      <c r="E88" s="27"/>
      <c r="F88" s="27"/>
      <c r="G88" s="27"/>
      <c r="H88" s="28"/>
      <c r="I88" s="92"/>
      <c r="J88" s="53"/>
      <c r="K88" s="55"/>
    </row>
    <row r="89" spans="1:11" s="24" customFormat="1" ht="3" customHeight="1">
      <c r="A89" s="50"/>
      <c r="B89" s="52"/>
      <c r="C89" s="52"/>
      <c r="D89" s="56"/>
      <c r="E89" s="56"/>
      <c r="F89" s="56"/>
      <c r="G89" s="56"/>
      <c r="H89" s="219"/>
      <c r="I89" s="93"/>
      <c r="K89" s="26"/>
    </row>
    <row r="90" spans="1:11" s="24" customFormat="1" ht="3" customHeight="1">
      <c r="B90" s="26"/>
      <c r="C90" s="26"/>
      <c r="D90" s="58"/>
      <c r="E90" s="58"/>
      <c r="F90" s="58"/>
      <c r="G90" s="58"/>
      <c r="H90" s="220"/>
      <c r="I90" s="91"/>
      <c r="K90" s="26"/>
    </row>
    <row r="91" spans="1:11" s="24" customFormat="1" ht="12.75">
      <c r="A91" s="53" t="s">
        <v>115</v>
      </c>
      <c r="B91" s="55"/>
      <c r="C91" s="55"/>
      <c r="D91" s="27"/>
      <c r="E91" s="27"/>
      <c r="F91" s="27"/>
      <c r="G91" s="27"/>
      <c r="H91" s="217"/>
      <c r="I91" s="92">
        <f>SUM(I81:I88)</f>
        <v>4554677</v>
      </c>
      <c r="J91" s="53"/>
      <c r="K91" s="55"/>
    </row>
    <row r="92" spans="1:11" s="24" customFormat="1" ht="4.5" customHeight="1">
      <c r="B92" s="55"/>
      <c r="C92" s="55"/>
      <c r="D92" s="27"/>
      <c r="E92" s="27"/>
      <c r="F92" s="27"/>
      <c r="G92" s="27"/>
      <c r="H92" s="217"/>
      <c r="I92" s="92"/>
      <c r="J92" s="53"/>
      <c r="K92" s="55"/>
    </row>
    <row r="93" spans="1:11" s="24" customFormat="1" ht="12.75">
      <c r="A93" s="24" t="s">
        <v>14</v>
      </c>
      <c r="C93" s="26"/>
      <c r="D93" s="27"/>
      <c r="E93" s="27"/>
      <c r="F93" s="27"/>
      <c r="G93" s="27"/>
      <c r="H93" s="28">
        <v>0.2</v>
      </c>
      <c r="I93" s="92">
        <f>ROUND(I81*H93,2)</f>
        <v>867557</v>
      </c>
      <c r="K93" s="28"/>
    </row>
    <row r="94" spans="1:11" s="24" customFormat="1" ht="3" customHeight="1">
      <c r="B94" s="26"/>
      <c r="C94" s="26"/>
      <c r="D94" s="27"/>
      <c r="E94" s="27"/>
      <c r="F94" s="27"/>
      <c r="G94" s="27"/>
      <c r="H94" s="217"/>
      <c r="I94" s="91"/>
      <c r="K94" s="26"/>
    </row>
    <row r="95" spans="1:11" s="24" customFormat="1" ht="12.75">
      <c r="A95" s="184" t="s">
        <v>116</v>
      </c>
      <c r="B95" s="185"/>
      <c r="C95" s="185"/>
      <c r="D95" s="186"/>
      <c r="E95" s="187"/>
      <c r="F95" s="187"/>
      <c r="G95" s="187"/>
      <c r="H95" s="221"/>
      <c r="I95" s="189">
        <f>SUM(I91:I93)</f>
        <v>5422234</v>
      </c>
      <c r="J95" s="53"/>
      <c r="K95" s="55"/>
    </row>
    <row r="96" spans="1:11" s="24" customFormat="1" ht="6.95" customHeight="1">
      <c r="B96" s="26"/>
      <c r="C96" s="26"/>
      <c r="D96" s="46"/>
      <c r="E96" s="47"/>
      <c r="F96" s="47"/>
      <c r="G96" s="47"/>
      <c r="H96" s="217"/>
      <c r="I96" s="91"/>
      <c r="K96" s="26"/>
    </row>
    <row r="97" spans="1:11" s="24" customFormat="1" ht="15" customHeight="1">
      <c r="A97" s="265" t="s">
        <v>143</v>
      </c>
      <c r="B97" s="26"/>
      <c r="C97" s="26"/>
      <c r="D97" s="47"/>
      <c r="E97" s="308">
        <f>I91/I38</f>
        <v>0.16008800000000001</v>
      </c>
      <c r="F97" s="47"/>
      <c r="H97" s="308"/>
      <c r="I97" s="92"/>
      <c r="J97" s="49"/>
      <c r="K97" s="26"/>
    </row>
    <row r="99" spans="1:11">
      <c r="A99" s="557" t="s">
        <v>247</v>
      </c>
    </row>
    <row r="100" spans="1:11">
      <c r="A100" s="557" t="s">
        <v>248</v>
      </c>
    </row>
  </sheetData>
  <sheetProtection algorithmName="SHA-512" hashValue="zmqS2Q2xO3eotzYv2QuJoNfB7iRdGMuREvn6NFjsqPyxlHEfjlgmaHFEchWlWampxYDuyqq14cRUugqBN/clMw==" saltValue="XXmy60RoH3YAJC+caMW3bg==" spinCount="100000" sheet="1" objects="1" scenarios="1"/>
  <mergeCells count="10">
    <mergeCell ref="A34:B34"/>
    <mergeCell ref="A11:B11"/>
    <mergeCell ref="A9:B9"/>
    <mergeCell ref="A7:B7"/>
    <mergeCell ref="H2:I2"/>
    <mergeCell ref="A32:B32"/>
    <mergeCell ref="A30:B30"/>
    <mergeCell ref="A28:B28"/>
    <mergeCell ref="A23:B23"/>
    <mergeCell ref="A21:B21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&amp;L&amp;"Arial,Fett"&amp;K01+016Angebot Generalplaner gesamt  (GP 2b + PL + ÖBA)
&amp;"Arial,Standard"(TA Anlagengruppen getrennt)
nach VM.GP.2023&amp;R&amp;"Arial,Standard"&amp;K01+017Version 1
Stand: 15.09.2023</oddHeader>
    <oddFooter>&amp;L&amp;"Arial,Fett"&amp;K01+030LM.VM.2023&amp;"Arial,Standard"  | &amp;A |  Angebotsformular&amp;R&amp;"Arial,Standard"&amp;K01+030&amp;P/&amp;N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D0F45-48E0-49EE-B258-27B2DB77984C}">
  <sheetPr>
    <tabColor theme="6"/>
  </sheetPr>
  <dimension ref="A1:N93"/>
  <sheetViews>
    <sheetView showGridLines="0" topLeftCell="A41" zoomScaleNormal="100" zoomScaleSheetLayoutView="85" zoomScalePageLayoutView="85" workbookViewId="0">
      <selection activeCell="F79" sqref="F79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48" t="s">
        <v>253</v>
      </c>
      <c r="I2" s="648"/>
      <c r="J2" s="550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45">
        <v>1</v>
      </c>
      <c r="B7" s="645"/>
      <c r="C7" s="76" t="s">
        <v>0</v>
      </c>
      <c r="D7" s="135">
        <f>E7/$E$33</f>
        <v>1E-3</v>
      </c>
      <c r="E7" s="479">
        <f>_1</f>
        <v>15000</v>
      </c>
      <c r="F7" s="72"/>
      <c r="G7" s="72"/>
      <c r="H7" s="520">
        <v>0</v>
      </c>
      <c r="I7" s="147">
        <f>E7*H7</f>
        <v>0</v>
      </c>
      <c r="K7" s="34"/>
    </row>
    <row r="8" spans="1:11" ht="6.95" customHeight="1">
      <c r="B8" s="4"/>
      <c r="C8" s="1"/>
      <c r="D8" s="136"/>
      <c r="E8" s="44"/>
      <c r="H8" s="521"/>
      <c r="I8" s="124"/>
      <c r="K8" s="44"/>
    </row>
    <row r="9" spans="1:11" s="11" customFormat="1" ht="12.95" customHeight="1">
      <c r="A9" s="645">
        <v>2</v>
      </c>
      <c r="B9" s="645"/>
      <c r="C9" s="76" t="s">
        <v>1</v>
      </c>
      <c r="D9" s="135">
        <f>E9/$E$33</f>
        <v>0.316</v>
      </c>
      <c r="E9" s="479">
        <f>_2</f>
        <v>9000000</v>
      </c>
      <c r="F9" s="72"/>
      <c r="G9" s="72"/>
      <c r="H9" s="522">
        <v>1</v>
      </c>
      <c r="I9" s="147">
        <f>E9*H9</f>
        <v>9000000</v>
      </c>
      <c r="K9" s="34"/>
    </row>
    <row r="10" spans="1:11" ht="6.95" customHeight="1">
      <c r="C10" s="1"/>
      <c r="D10" s="136"/>
      <c r="E10" s="518"/>
      <c r="H10" s="521"/>
      <c r="I10" s="123"/>
      <c r="K10" s="34"/>
    </row>
    <row r="11" spans="1:11" s="10" customFormat="1" ht="12.95" customHeight="1">
      <c r="A11" s="645">
        <v>3</v>
      </c>
      <c r="B11" s="645"/>
      <c r="C11" s="76" t="s">
        <v>7</v>
      </c>
      <c r="D11" s="135">
        <f>E11/$E$33</f>
        <v>0.19900000000000001</v>
      </c>
      <c r="E11" s="502">
        <f>_3</f>
        <v>5650000</v>
      </c>
      <c r="F11" s="72"/>
      <c r="G11" s="72"/>
      <c r="H11" s="521"/>
      <c r="I11" s="123"/>
      <c r="K11" s="34"/>
    </row>
    <row r="12" spans="1:11" ht="12.95" customHeight="1">
      <c r="A12" s="315">
        <v>3</v>
      </c>
      <c r="B12" s="79" t="s">
        <v>17</v>
      </c>
      <c r="C12" s="80" t="s">
        <v>18</v>
      </c>
      <c r="D12" s="137"/>
      <c r="E12" s="516">
        <f>_3.01</f>
        <v>900000</v>
      </c>
      <c r="F12" s="72"/>
      <c r="G12" s="72"/>
      <c r="H12" s="522">
        <v>1</v>
      </c>
      <c r="I12" s="148">
        <f t="shared" ref="I12:I19" si="0">E12*H12</f>
        <v>900000</v>
      </c>
      <c r="K12" s="34"/>
    </row>
    <row r="13" spans="1:11" ht="12.95" customHeight="1">
      <c r="A13" s="316">
        <v>3</v>
      </c>
      <c r="B13" s="83" t="s">
        <v>19</v>
      </c>
      <c r="C13" s="84" t="s">
        <v>26</v>
      </c>
      <c r="D13" s="138"/>
      <c r="E13" s="504">
        <f>_3.02</f>
        <v>1200000</v>
      </c>
      <c r="F13" s="72"/>
      <c r="G13" s="72"/>
      <c r="H13" s="522">
        <v>1</v>
      </c>
      <c r="I13" s="208">
        <f t="shared" si="0"/>
        <v>1200000</v>
      </c>
      <c r="K13" s="34"/>
    </row>
    <row r="14" spans="1:11" ht="12.95" customHeight="1">
      <c r="A14" s="316">
        <v>3</v>
      </c>
      <c r="B14" s="83" t="s">
        <v>20</v>
      </c>
      <c r="C14" s="84" t="s">
        <v>27</v>
      </c>
      <c r="D14" s="138"/>
      <c r="E14" s="517">
        <f>_3.03</f>
        <v>1000000</v>
      </c>
      <c r="F14" s="72"/>
      <c r="G14" s="72"/>
      <c r="H14" s="522">
        <v>1</v>
      </c>
      <c r="I14" s="208">
        <f t="shared" si="0"/>
        <v>1000000</v>
      </c>
      <c r="K14" s="34"/>
    </row>
    <row r="15" spans="1:11" ht="12.95" customHeight="1">
      <c r="A15" s="316">
        <v>3</v>
      </c>
      <c r="B15" s="83" t="s">
        <v>21</v>
      </c>
      <c r="C15" s="84" t="s">
        <v>28</v>
      </c>
      <c r="D15" s="138"/>
      <c r="E15" s="517">
        <f>_3.04</f>
        <v>1500000</v>
      </c>
      <c r="F15" s="72"/>
      <c r="G15" s="72"/>
      <c r="H15" s="522">
        <v>1</v>
      </c>
      <c r="I15" s="208">
        <f t="shared" si="0"/>
        <v>1500000</v>
      </c>
      <c r="K15" s="34"/>
    </row>
    <row r="16" spans="1:11" ht="12.95" customHeight="1">
      <c r="A16" s="316">
        <v>3</v>
      </c>
      <c r="B16" s="83" t="s">
        <v>22</v>
      </c>
      <c r="C16" s="84" t="s">
        <v>31</v>
      </c>
      <c r="D16" s="138"/>
      <c r="E16" s="517">
        <f>_3.05</f>
        <v>600000</v>
      </c>
      <c r="F16" s="72"/>
      <c r="G16" s="72"/>
      <c r="H16" s="522">
        <v>1</v>
      </c>
      <c r="I16" s="208">
        <f t="shared" si="0"/>
        <v>600000</v>
      </c>
      <c r="K16" s="34"/>
    </row>
    <row r="17" spans="1:11" ht="12.95" customHeight="1">
      <c r="A17" s="316">
        <v>3</v>
      </c>
      <c r="B17" s="83" t="s">
        <v>23</v>
      </c>
      <c r="C17" s="84" t="s">
        <v>29</v>
      </c>
      <c r="D17" s="138"/>
      <c r="E17" s="517">
        <f>_3.06</f>
        <v>150000</v>
      </c>
      <c r="F17" s="72"/>
      <c r="G17" s="72"/>
      <c r="H17" s="522">
        <v>1</v>
      </c>
      <c r="I17" s="208">
        <f t="shared" si="0"/>
        <v>150000</v>
      </c>
      <c r="K17" s="34"/>
    </row>
    <row r="18" spans="1:11" ht="12.95" customHeight="1">
      <c r="A18" s="316">
        <v>3</v>
      </c>
      <c r="B18" s="83" t="s">
        <v>24</v>
      </c>
      <c r="C18" s="84" t="s">
        <v>30</v>
      </c>
      <c r="D18" s="138"/>
      <c r="E18" s="517">
        <f>_3.07</f>
        <v>0</v>
      </c>
      <c r="F18" s="72"/>
      <c r="G18" s="72"/>
      <c r="H18" s="522">
        <v>0</v>
      </c>
      <c r="I18" s="208">
        <f t="shared" si="0"/>
        <v>0</v>
      </c>
      <c r="K18" s="34"/>
    </row>
    <row r="19" spans="1:11" ht="12.95" customHeight="1">
      <c r="A19" s="316">
        <v>3</v>
      </c>
      <c r="B19" s="83" t="s">
        <v>25</v>
      </c>
      <c r="C19" s="84" t="s">
        <v>8</v>
      </c>
      <c r="D19" s="138"/>
      <c r="E19" s="517">
        <f>_3.08</f>
        <v>300000</v>
      </c>
      <c r="F19" s="72"/>
      <c r="G19" s="72"/>
      <c r="H19" s="522">
        <v>1</v>
      </c>
      <c r="I19" s="209">
        <f t="shared" si="0"/>
        <v>300000</v>
      </c>
      <c r="K19" s="34"/>
    </row>
    <row r="20" spans="1:11" ht="6.95" customHeight="1">
      <c r="C20" s="1"/>
      <c r="D20" s="136"/>
      <c r="E20" s="34"/>
      <c r="H20" s="523"/>
      <c r="I20" s="123"/>
      <c r="K20" s="151"/>
    </row>
    <row r="21" spans="1:11" s="10" customFormat="1" ht="12.75" customHeight="1">
      <c r="A21" s="645">
        <v>4</v>
      </c>
      <c r="B21" s="645"/>
      <c r="C21" s="76" t="s">
        <v>2</v>
      </c>
      <c r="D21" s="135">
        <f>E21/$E$33</f>
        <v>0.21099999999999999</v>
      </c>
      <c r="E21" s="479">
        <f>_4</f>
        <v>6000000</v>
      </c>
      <c r="F21" s="72"/>
      <c r="G21" s="72"/>
      <c r="H21" s="522">
        <v>1</v>
      </c>
      <c r="I21" s="147">
        <f>E21*H21</f>
        <v>6000000</v>
      </c>
      <c r="K21" s="34"/>
    </row>
    <row r="22" spans="1:11" ht="6.95" customHeight="1">
      <c r="B22" s="4"/>
      <c r="C22" s="1"/>
      <c r="D22" s="136"/>
      <c r="E22" s="34"/>
      <c r="H22" s="521"/>
      <c r="I22" s="123"/>
      <c r="K22" s="33"/>
    </row>
    <row r="23" spans="1:11" s="11" customFormat="1" ht="12.95" customHeight="1">
      <c r="A23" s="645">
        <v>5</v>
      </c>
      <c r="B23" s="645"/>
      <c r="C23" s="76" t="s">
        <v>9</v>
      </c>
      <c r="D23" s="135">
        <f>E23/$E$33</f>
        <v>5.8000000000000003E-2</v>
      </c>
      <c r="E23" s="503">
        <f>_5</f>
        <v>1650000</v>
      </c>
      <c r="F23" s="72"/>
      <c r="G23" s="72"/>
      <c r="H23" s="522">
        <v>0</v>
      </c>
      <c r="I23" s="147">
        <f>E23*H23</f>
        <v>0</v>
      </c>
      <c r="K23" s="34"/>
    </row>
    <row r="24" spans="1:11" ht="6.95" customHeight="1">
      <c r="C24" s="1"/>
      <c r="D24" s="136"/>
      <c r="E24" s="34"/>
      <c r="H24" s="521"/>
      <c r="I24" s="123"/>
      <c r="K24" s="34"/>
    </row>
    <row r="25" spans="1:11" s="10" customFormat="1" ht="12.95" customHeight="1">
      <c r="A25" s="645">
        <v>6</v>
      </c>
      <c r="B25" s="645"/>
      <c r="C25" s="76" t="s">
        <v>3</v>
      </c>
      <c r="D25" s="135">
        <f>E25/$E$33</f>
        <v>1.7999999999999999E-2</v>
      </c>
      <c r="E25" s="479">
        <f>_6</f>
        <v>500000</v>
      </c>
      <c r="F25" s="72"/>
      <c r="G25" s="72"/>
      <c r="H25" s="522">
        <v>0</v>
      </c>
      <c r="I25" s="147">
        <f>E25*H25</f>
        <v>0</v>
      </c>
      <c r="K25" s="34"/>
    </row>
    <row r="26" spans="1:11" ht="6.95" customHeight="1">
      <c r="B26" s="13"/>
      <c r="C26" s="1"/>
      <c r="D26" s="139"/>
      <c r="E26" s="34"/>
      <c r="H26" s="521"/>
      <c r="I26" s="123"/>
      <c r="K26" s="34"/>
    </row>
    <row r="27" spans="1:11" s="11" customFormat="1" ht="12.95" customHeight="1">
      <c r="A27" s="645">
        <v>7</v>
      </c>
      <c r="B27" s="645"/>
      <c r="C27" s="76" t="s">
        <v>113</v>
      </c>
      <c r="D27" s="135">
        <f>E27/$E$33</f>
        <v>0.14099999999999999</v>
      </c>
      <c r="E27" s="479">
        <f>_7</f>
        <v>4000000</v>
      </c>
      <c r="F27" s="72"/>
      <c r="G27" s="72"/>
      <c r="H27" s="522">
        <v>0</v>
      </c>
      <c r="I27" s="147">
        <f>E27*H27</f>
        <v>0</v>
      </c>
      <c r="K27" s="34"/>
    </row>
    <row r="28" spans="1:11" ht="6.95" customHeight="1">
      <c r="C28" s="1"/>
      <c r="D28" s="139"/>
      <c r="E28" s="34"/>
      <c r="H28" s="521"/>
      <c r="I28" s="123"/>
      <c r="K28" s="34"/>
    </row>
    <row r="29" spans="1:11" s="11" customFormat="1" ht="12.95" customHeight="1">
      <c r="A29" s="645">
        <v>8</v>
      </c>
      <c r="B29" s="645"/>
      <c r="C29" s="76" t="s">
        <v>105</v>
      </c>
      <c r="D29" s="135">
        <f>E29/$E$33</f>
        <v>1E-3</v>
      </c>
      <c r="E29" s="479">
        <f>_8</f>
        <v>36000</v>
      </c>
      <c r="F29" s="72"/>
      <c r="G29" s="72"/>
      <c r="H29" s="522">
        <v>0</v>
      </c>
      <c r="I29" s="147">
        <f>E29*H29</f>
        <v>0</v>
      </c>
      <c r="K29" s="34"/>
    </row>
    <row r="30" spans="1:11" ht="6.95" customHeight="1">
      <c r="C30" s="1"/>
      <c r="D30" s="139"/>
      <c r="E30" s="34"/>
      <c r="H30" s="523"/>
      <c r="I30" s="123"/>
      <c r="K30" s="151"/>
    </row>
    <row r="31" spans="1:11" s="11" customFormat="1" ht="12.95" customHeight="1">
      <c r="A31" s="645">
        <v>9</v>
      </c>
      <c r="B31" s="645"/>
      <c r="C31" s="76" t="s">
        <v>10</v>
      </c>
      <c r="D31" s="135">
        <f>E31/$E$33</f>
        <v>5.6000000000000001E-2</v>
      </c>
      <c r="E31" s="479">
        <f>_9</f>
        <v>1600000</v>
      </c>
      <c r="F31" s="72"/>
      <c r="G31" s="72"/>
      <c r="H31" s="522">
        <v>0.1</v>
      </c>
      <c r="I31" s="147">
        <f>E31*H31</f>
        <v>160000</v>
      </c>
      <c r="K31" s="34"/>
    </row>
    <row r="32" spans="1:11" ht="9.9499999999999993" customHeight="1">
      <c r="B32" s="13"/>
      <c r="C32" s="5"/>
      <c r="D32" s="32"/>
      <c r="E32" s="23"/>
      <c r="I32" s="1"/>
      <c r="K32" s="1"/>
    </row>
    <row r="33" spans="1:12" ht="12.95" customHeight="1">
      <c r="A33" s="113" t="s">
        <v>12</v>
      </c>
      <c r="B33" s="114"/>
      <c r="C33" s="114"/>
      <c r="D33" s="115">
        <f>SUM(D7:D31)</f>
        <v>1</v>
      </c>
      <c r="E33" s="486">
        <f>_EK</f>
        <v>28451000</v>
      </c>
      <c r="F33" s="64"/>
      <c r="G33" s="64"/>
      <c r="H33" s="176"/>
      <c r="I33" s="23"/>
      <c r="K33" s="23"/>
    </row>
    <row r="34" spans="1:12" ht="6.95" customHeight="1">
      <c r="B34" s="248"/>
      <c r="D34" s="32"/>
      <c r="E34" s="23"/>
      <c r="F34" s="9"/>
      <c r="G34" s="9"/>
      <c r="I34" s="1"/>
      <c r="K34" s="23"/>
    </row>
    <row r="35" spans="1:12" ht="12.95" customHeight="1">
      <c r="A35" s="645"/>
      <c r="B35" s="645"/>
      <c r="C35" s="75" t="s">
        <v>130</v>
      </c>
      <c r="D35" s="135"/>
      <c r="E35" s="479">
        <f>_mvB</f>
        <v>120000</v>
      </c>
      <c r="F35" s="72"/>
      <c r="G35" s="72"/>
      <c r="H35" s="105">
        <v>1</v>
      </c>
      <c r="I35" s="147">
        <f>E35*H35</f>
        <v>120000</v>
      </c>
      <c r="K35" s="23"/>
    </row>
    <row r="36" spans="1:12" ht="6" customHeight="1">
      <c r="D36" s="32"/>
      <c r="H36" s="8"/>
      <c r="I36" s="9"/>
    </row>
    <row r="37" spans="1:12" s="14" customFormat="1" ht="12.95" customHeight="1">
      <c r="A37" s="191" t="s">
        <v>32</v>
      </c>
      <c r="B37" s="192"/>
      <c r="C37" s="192"/>
      <c r="D37" s="192"/>
      <c r="E37" s="203"/>
      <c r="F37" s="203"/>
      <c r="G37" s="203"/>
      <c r="H37" s="204"/>
      <c r="I37" s="205">
        <f>SUM(I7:I35)</f>
        <v>20930000</v>
      </c>
      <c r="K37" s="602"/>
    </row>
    <row r="38" spans="1:12" s="16" customFormat="1" ht="9.9499999999999993" customHeight="1">
      <c r="B38" s="18"/>
      <c r="C38" s="18"/>
      <c r="I38" s="153"/>
      <c r="J38" s="153"/>
      <c r="K38" s="153"/>
    </row>
    <row r="39" spans="1:12" ht="12.75" customHeight="1">
      <c r="A39" s="154" t="s">
        <v>157</v>
      </c>
      <c r="B39" s="154"/>
      <c r="C39" s="154"/>
      <c r="D39" s="155"/>
      <c r="E39" s="155"/>
      <c r="F39" s="155"/>
      <c r="G39" s="155"/>
      <c r="H39" s="155"/>
      <c r="I39" s="154"/>
      <c r="J39" s="551"/>
      <c r="K39" s="157"/>
    </row>
    <row r="40" spans="1:12" ht="6.75" customHeight="1">
      <c r="A40" s="156"/>
      <c r="B40" s="156"/>
      <c r="C40" s="156"/>
      <c r="D40" s="156"/>
      <c r="E40" s="156"/>
      <c r="F40" s="156"/>
      <c r="G40" s="156"/>
      <c r="H40" s="156"/>
      <c r="J40" s="177"/>
    </row>
    <row r="41" spans="1:12" ht="12.75" customHeight="1">
      <c r="A41" s="157" t="s">
        <v>78</v>
      </c>
      <c r="B41" s="156"/>
      <c r="C41" s="156"/>
      <c r="D41" s="156"/>
      <c r="E41" s="156"/>
      <c r="F41" s="156"/>
      <c r="G41" s="156"/>
      <c r="H41" s="156"/>
      <c r="J41" s="177"/>
    </row>
    <row r="42" spans="1:12" ht="12.75" customHeight="1">
      <c r="A42" s="19"/>
      <c r="B42" s="19"/>
      <c r="C42" s="19"/>
      <c r="E42" s="158" t="s">
        <v>5</v>
      </c>
      <c r="F42" s="159" t="s">
        <v>4</v>
      </c>
      <c r="H42" s="646" t="s">
        <v>243</v>
      </c>
      <c r="I42" s="646"/>
      <c r="J42" s="238"/>
      <c r="K42" s="241"/>
    </row>
    <row r="43" spans="1:12" ht="12.75" customHeight="1">
      <c r="B43" s="20" t="s">
        <v>46</v>
      </c>
      <c r="C43" s="41"/>
      <c r="D43" s="35"/>
      <c r="E43" s="117">
        <v>8</v>
      </c>
      <c r="F43" s="160" t="s">
        <v>58</v>
      </c>
      <c r="H43" s="462"/>
      <c r="I43" s="463"/>
      <c r="K43" s="241"/>
    </row>
    <row r="44" spans="1:12" ht="12.75" customHeight="1">
      <c r="B44" s="21" t="s">
        <v>47</v>
      </c>
      <c r="C44" s="42"/>
      <c r="D44" s="36"/>
      <c r="E44" s="118">
        <v>1</v>
      </c>
      <c r="F44" s="161" t="s">
        <v>6</v>
      </c>
      <c r="H44" s="464"/>
      <c r="I44" s="465"/>
      <c r="K44" s="241"/>
    </row>
    <row r="45" spans="1:12" ht="12.75" customHeight="1">
      <c r="B45" s="21" t="s">
        <v>48</v>
      </c>
      <c r="C45" s="42"/>
      <c r="D45" s="36"/>
      <c r="E45" s="118">
        <v>2</v>
      </c>
      <c r="F45" s="161" t="s">
        <v>6</v>
      </c>
      <c r="H45" s="464"/>
      <c r="I45" s="465"/>
      <c r="K45" s="241"/>
      <c r="L45" s="629"/>
    </row>
    <row r="46" spans="1:12" ht="12.75" customHeight="1">
      <c r="B46" s="21" t="s">
        <v>49</v>
      </c>
      <c r="C46" s="36"/>
      <c r="D46" s="36"/>
      <c r="E46" s="118">
        <v>1</v>
      </c>
      <c r="F46" s="161" t="s">
        <v>6</v>
      </c>
      <c r="H46" s="466"/>
      <c r="I46" s="467"/>
      <c r="K46" s="241"/>
    </row>
    <row r="47" spans="1:12" ht="4.5" customHeight="1">
      <c r="A47" s="19"/>
      <c r="B47" s="19"/>
      <c r="C47" s="19"/>
      <c r="E47" s="162"/>
      <c r="F47" s="162"/>
      <c r="H47" s="464"/>
      <c r="I47" s="464"/>
      <c r="J47" s="238"/>
      <c r="K47" s="241"/>
    </row>
    <row r="48" spans="1:12" ht="12.75" customHeight="1">
      <c r="A48" s="19"/>
      <c r="B48" s="553"/>
      <c r="C48" s="510" t="s">
        <v>204</v>
      </c>
      <c r="D48" s="36"/>
      <c r="E48" s="118">
        <v>0</v>
      </c>
      <c r="F48" s="161" t="s">
        <v>239</v>
      </c>
      <c r="H48" s="464"/>
      <c r="I48" s="465"/>
      <c r="J48" s="238"/>
      <c r="K48" s="241"/>
    </row>
    <row r="49" spans="1:11" ht="12.75" customHeight="1">
      <c r="A49" s="19"/>
      <c r="B49" s="553"/>
      <c r="C49" s="510" t="s">
        <v>166</v>
      </c>
      <c r="D49" s="36"/>
      <c r="E49" s="118">
        <v>0</v>
      </c>
      <c r="F49" s="161" t="s">
        <v>240</v>
      </c>
      <c r="H49" s="466"/>
      <c r="I49" s="467"/>
      <c r="J49" s="238"/>
      <c r="K49" s="241"/>
    </row>
    <row r="50" spans="1:11" ht="4.5" customHeight="1">
      <c r="A50" s="19"/>
      <c r="B50" s="19"/>
      <c r="C50" s="19"/>
      <c r="E50" s="162"/>
      <c r="F50" s="162"/>
      <c r="J50" s="238"/>
      <c r="K50" s="241"/>
    </row>
    <row r="51" spans="1:11" ht="12.75" customHeight="1">
      <c r="B51" s="19" t="s">
        <v>45</v>
      </c>
      <c r="C51" s="1"/>
      <c r="D51" s="163"/>
      <c r="E51" s="165">
        <f>SUM(E43:E49)</f>
        <v>12</v>
      </c>
      <c r="F51" s="164"/>
      <c r="J51" s="238"/>
      <c r="K51" s="1"/>
    </row>
    <row r="52" spans="1:11" ht="4.3499999999999996" customHeight="1">
      <c r="B52" s="19"/>
      <c r="C52" s="1"/>
      <c r="D52" s="164"/>
      <c r="E52" s="164"/>
      <c r="F52" s="164"/>
      <c r="J52" s="238"/>
      <c r="K52" s="1"/>
    </row>
    <row r="53" spans="1:11" ht="12.95" customHeight="1">
      <c r="A53" s="157" t="s">
        <v>15</v>
      </c>
      <c r="B53" s="157"/>
      <c r="C53" s="156"/>
      <c r="D53" s="156"/>
      <c r="E53" s="156"/>
      <c r="F53" s="156"/>
      <c r="I53" s="251"/>
      <c r="J53" s="1"/>
    </row>
    <row r="54" spans="1:11" ht="4.5" customHeight="1">
      <c r="A54" s="157"/>
      <c r="B54" s="157"/>
      <c r="C54" s="157"/>
      <c r="D54" s="157"/>
      <c r="J54" s="1"/>
    </row>
    <row r="55" spans="1:11" ht="12.75" customHeight="1">
      <c r="A55" s="166" t="s">
        <v>73</v>
      </c>
      <c r="B55" s="166"/>
      <c r="C55" s="1"/>
      <c r="E55" s="210">
        <f>I37</f>
        <v>20930000</v>
      </c>
      <c r="I55" s="548" t="str">
        <f>IF(E55&lt;500000,"! gemäß BP.9 (3): Wenn die Bemessungsgrundlage niedriger ist als 500.000 €, sollte der Ermittlungsweg über Abschätzung des Büro- / Personalaufwandes gewählt werden","")</f>
        <v/>
      </c>
      <c r="J55" s="548"/>
    </row>
    <row r="56" spans="1:11" ht="12.75" customHeight="1">
      <c r="A56" s="19" t="s">
        <v>109</v>
      </c>
      <c r="B56" s="19"/>
      <c r="C56" s="19"/>
      <c r="E56" s="626">
        <v>9500</v>
      </c>
      <c r="I56" s="548"/>
      <c r="J56" s="548"/>
    </row>
    <row r="57" spans="1:11" ht="12.75" customHeight="1">
      <c r="A57" s="19" t="s">
        <v>110</v>
      </c>
      <c r="B57" s="19"/>
      <c r="C57" s="19"/>
      <c r="E57" s="120">
        <v>1000</v>
      </c>
      <c r="I57" s="548"/>
      <c r="J57" s="548"/>
    </row>
    <row r="58" spans="1:11" ht="4.3499999999999996" customHeight="1">
      <c r="A58" s="19"/>
      <c r="B58" s="19"/>
      <c r="C58" s="19"/>
      <c r="E58" s="103"/>
      <c r="I58" s="548"/>
      <c r="J58" s="548"/>
    </row>
    <row r="59" spans="1:11" ht="13.5" customHeight="1">
      <c r="A59" s="24" t="s">
        <v>71</v>
      </c>
      <c r="B59" s="24"/>
      <c r="C59" s="24"/>
      <c r="E59" s="469">
        <f>0.057*E51+0.367</f>
        <v>1.05</v>
      </c>
      <c r="F59" s="121"/>
      <c r="I59" s="548"/>
      <c r="J59" s="548"/>
    </row>
    <row r="60" spans="1:11" ht="4.3499999999999996" customHeight="1">
      <c r="A60" s="19"/>
      <c r="B60" s="19"/>
      <c r="C60" s="19"/>
      <c r="E60" s="29"/>
      <c r="F60" s="121"/>
      <c r="I60" s="548"/>
      <c r="J60" s="548"/>
    </row>
    <row r="61" spans="1:11" s="110" customFormat="1" ht="18" customHeight="1">
      <c r="A61" s="19" t="s">
        <v>72</v>
      </c>
      <c r="B61" s="19"/>
      <c r="C61" s="19"/>
      <c r="E61" s="230">
        <f>ROUND(439.8031*E55^(-0.476)*E59/100,6)</f>
        <v>1.513E-3</v>
      </c>
      <c r="F61" s="554" t="s">
        <v>108</v>
      </c>
      <c r="I61" s="548"/>
      <c r="J61" s="548"/>
      <c r="K61" s="252"/>
    </row>
    <row r="62" spans="1:11" ht="13.5" customHeight="1">
      <c r="A62" s="19" t="s">
        <v>137</v>
      </c>
      <c r="B62" s="19"/>
      <c r="C62" s="19"/>
      <c r="E62" s="257">
        <v>0</v>
      </c>
      <c r="F62" s="207"/>
      <c r="J62"/>
    </row>
    <row r="63" spans="1:11" ht="4.3499999999999996" customHeight="1">
      <c r="A63" s="19"/>
      <c r="B63" s="19"/>
      <c r="C63" s="19"/>
      <c r="G63" s="167"/>
      <c r="H63" s="167"/>
      <c r="J63"/>
    </row>
    <row r="64" spans="1:11" ht="12.95" customHeight="1">
      <c r="A64" s="660" t="s">
        <v>246</v>
      </c>
      <c r="B64" s="660"/>
      <c r="C64" s="660"/>
      <c r="D64" s="660"/>
      <c r="E64" s="660"/>
      <c r="F64" s="258">
        <f>E55*E61/E56*E57*(1+E62)</f>
        <v>3333</v>
      </c>
      <c r="G64" s="552"/>
      <c r="J64" s="1"/>
    </row>
    <row r="65" spans="1:11" ht="12.95" customHeight="1">
      <c r="A65" s="24"/>
      <c r="B65" s="19"/>
      <c r="C65" s="19"/>
      <c r="D65" s="275" t="s">
        <v>147</v>
      </c>
      <c r="E65" s="270" t="s">
        <v>5</v>
      </c>
      <c r="F65" s="170"/>
      <c r="J65" s="30"/>
    </row>
    <row r="66" spans="1:11" ht="12.75" customHeight="1">
      <c r="A66" s="156" t="s">
        <v>98</v>
      </c>
      <c r="B66" s="156"/>
      <c r="C66" s="171"/>
      <c r="D66" s="271">
        <v>0.03</v>
      </c>
      <c r="E66" s="222">
        <v>0.03</v>
      </c>
      <c r="F66" s="231">
        <f t="shared" ref="F66:F75" si="1">$F$64*E66</f>
        <v>100</v>
      </c>
      <c r="J66"/>
    </row>
    <row r="67" spans="1:11" ht="12.75" customHeight="1">
      <c r="A67" s="156" t="s">
        <v>35</v>
      </c>
      <c r="B67" s="156"/>
      <c r="C67" s="171"/>
      <c r="D67" s="271">
        <v>0.17</v>
      </c>
      <c r="E67" s="223">
        <v>0.17</v>
      </c>
      <c r="F67" s="231">
        <f t="shared" si="1"/>
        <v>567</v>
      </c>
      <c r="J67"/>
    </row>
    <row r="68" spans="1:11" ht="12.75" customHeight="1">
      <c r="A68" s="156" t="s">
        <v>36</v>
      </c>
      <c r="B68" s="156"/>
      <c r="C68" s="171"/>
      <c r="D68" s="271">
        <v>0.35</v>
      </c>
      <c r="E68" s="223">
        <v>0.35</v>
      </c>
      <c r="F68" s="231">
        <f t="shared" si="1"/>
        <v>1167</v>
      </c>
      <c r="J68"/>
    </row>
    <row r="69" spans="1:11" ht="12.75" customHeight="1">
      <c r="A69" s="156" t="s">
        <v>37</v>
      </c>
      <c r="B69" s="156"/>
      <c r="C69" s="171"/>
      <c r="D69" s="271">
        <v>0.05</v>
      </c>
      <c r="E69" s="223">
        <v>0.05</v>
      </c>
      <c r="F69" s="231">
        <f t="shared" si="1"/>
        <v>167</v>
      </c>
      <c r="J69"/>
    </row>
    <row r="70" spans="1:11" ht="12.75" customHeight="1">
      <c r="A70" s="156" t="s">
        <v>67</v>
      </c>
      <c r="B70" s="156"/>
      <c r="C70" s="171"/>
      <c r="D70" s="271">
        <v>0.27</v>
      </c>
      <c r="E70" s="223">
        <v>0.27</v>
      </c>
      <c r="F70" s="231">
        <f t="shared" si="1"/>
        <v>900</v>
      </c>
      <c r="J70"/>
    </row>
    <row r="71" spans="1:11" ht="12.75" customHeight="1">
      <c r="A71" s="156" t="s">
        <v>39</v>
      </c>
      <c r="B71" s="156"/>
      <c r="C71" s="171"/>
      <c r="D71" s="271">
        <v>0.02</v>
      </c>
      <c r="E71" s="223">
        <v>0.02</v>
      </c>
      <c r="F71" s="231">
        <f t="shared" si="1"/>
        <v>67</v>
      </c>
      <c r="J71"/>
    </row>
    <row r="72" spans="1:11" ht="12.75" customHeight="1">
      <c r="A72" s="156" t="s">
        <v>61</v>
      </c>
      <c r="B72" s="156"/>
      <c r="C72" s="171"/>
      <c r="D72" s="271">
        <v>0.02</v>
      </c>
      <c r="E72" s="223">
        <v>0.02</v>
      </c>
      <c r="F72" s="231">
        <f t="shared" si="1"/>
        <v>67</v>
      </c>
      <c r="J72"/>
    </row>
    <row r="73" spans="1:11" ht="12.75" customHeight="1">
      <c r="A73" s="156" t="s">
        <v>54</v>
      </c>
      <c r="B73" s="156"/>
      <c r="C73" s="171"/>
      <c r="D73" s="271">
        <v>0.09</v>
      </c>
      <c r="E73" s="223">
        <v>0.09</v>
      </c>
      <c r="F73" s="524">
        <f t="shared" si="1"/>
        <v>300</v>
      </c>
      <c r="H73" s="658"/>
      <c r="I73" s="659"/>
      <c r="J73" s="604"/>
    </row>
    <row r="74" spans="1:11" ht="12.75" customHeight="1">
      <c r="A74" s="156" t="s">
        <v>68</v>
      </c>
      <c r="B74" s="156"/>
      <c r="C74" s="171"/>
      <c r="D74" s="271">
        <v>0</v>
      </c>
      <c r="E74" s="223">
        <v>0</v>
      </c>
      <c r="F74" s="231">
        <f t="shared" si="1"/>
        <v>0</v>
      </c>
      <c r="H74" s="659"/>
      <c r="I74" s="659"/>
      <c r="J74" s="604"/>
    </row>
    <row r="75" spans="1:11" ht="12.75" customHeight="1">
      <c r="A75" s="168" t="s">
        <v>55</v>
      </c>
      <c r="B75" s="168"/>
      <c r="C75" s="174"/>
      <c r="D75" s="272">
        <v>0</v>
      </c>
      <c r="E75" s="224">
        <v>0</v>
      </c>
      <c r="F75" s="259">
        <f t="shared" si="1"/>
        <v>0</v>
      </c>
      <c r="G75" s="45"/>
      <c r="H75" s="45"/>
      <c r="I75" s="45"/>
      <c r="J75" s="604"/>
    </row>
    <row r="76" spans="1:11" s="16" customFormat="1" ht="18.600000000000001" customHeight="1">
      <c r="A76" s="292" t="s">
        <v>44</v>
      </c>
      <c r="B76" s="417"/>
      <c r="C76" s="418"/>
      <c r="D76" s="525">
        <f>SUM(D66:D75)</f>
        <v>1</v>
      </c>
      <c r="E76" s="289">
        <f>SUM(E66:E75)</f>
        <v>1</v>
      </c>
      <c r="F76" s="288">
        <f>SUM(F66:F75)</f>
        <v>3335</v>
      </c>
      <c r="I76" s="472"/>
      <c r="J76" s="17"/>
    </row>
    <row r="77" spans="1:11" ht="12.75" customHeight="1">
      <c r="A77" s="156" t="s">
        <v>211</v>
      </c>
      <c r="B77" s="156"/>
      <c r="C77" s="171"/>
      <c r="D77" s="271">
        <v>0.02</v>
      </c>
      <c r="E77" s="471">
        <v>0</v>
      </c>
      <c r="F77" s="177">
        <f>$F$64*E77</f>
        <v>0</v>
      </c>
      <c r="J77"/>
      <c r="K77" s="1"/>
    </row>
    <row r="78" spans="1:11" ht="12.75" customHeight="1">
      <c r="A78" s="168" t="s">
        <v>256</v>
      </c>
      <c r="B78" s="168"/>
      <c r="C78" s="174"/>
      <c r="D78" s="272">
        <v>0.02</v>
      </c>
      <c r="E78" s="224">
        <v>0</v>
      </c>
      <c r="F78" s="178">
        <f>$F$64*E78</f>
        <v>0</v>
      </c>
      <c r="G78" s="45"/>
      <c r="H78" s="45"/>
      <c r="I78" s="45"/>
      <c r="J78"/>
      <c r="K78" s="1"/>
    </row>
    <row r="79" spans="1:11" ht="13.5" customHeight="1">
      <c r="A79" s="644" t="s">
        <v>251</v>
      </c>
      <c r="B79" s="644"/>
      <c r="C79" s="644"/>
      <c r="D79" s="623">
        <f>SUM(D76:D78)</f>
        <v>1.04</v>
      </c>
      <c r="E79" s="474">
        <f>E76+SUM(E77:E78)</f>
        <v>1</v>
      </c>
      <c r="F79" s="475">
        <f>F76+SUM(F77:F78)</f>
        <v>3335</v>
      </c>
      <c r="G79" s="8"/>
      <c r="H79" s="8"/>
      <c r="I79" s="99">
        <f>F79</f>
        <v>3335</v>
      </c>
      <c r="J79" s="1"/>
      <c r="K79" s="23"/>
    </row>
    <row r="80" spans="1:11" ht="9.9499999999999993" customHeight="1">
      <c r="E80" s="108"/>
      <c r="G80" s="8"/>
      <c r="H80" s="8"/>
      <c r="I80"/>
      <c r="J80" s="1"/>
    </row>
    <row r="81" spans="1:14" ht="12.75" customHeight="1">
      <c r="A81" s="33" t="s">
        <v>123</v>
      </c>
      <c r="E81" s="228">
        <v>0</v>
      </c>
      <c r="F81" s="229">
        <v>0</v>
      </c>
      <c r="G81" s="8"/>
      <c r="H81" s="8"/>
      <c r="I81" s="476">
        <f>E81*F81</f>
        <v>0</v>
      </c>
      <c r="J81" s="1"/>
      <c r="L81"/>
      <c r="M81"/>
      <c r="N81"/>
    </row>
    <row r="82" spans="1:14" ht="9.9499999999999993" customHeight="1">
      <c r="E82" s="108"/>
      <c r="G82" s="8"/>
      <c r="H82" s="8"/>
      <c r="I82"/>
      <c r="J82" s="1"/>
    </row>
    <row r="83" spans="1:14" s="24" customFormat="1" ht="12.75">
      <c r="A83" s="94" t="s">
        <v>122</v>
      </c>
      <c r="B83" s="95"/>
      <c r="C83" s="96"/>
      <c r="D83" s="96"/>
      <c r="E83" s="109"/>
      <c r="F83" s="97"/>
      <c r="G83" s="97"/>
      <c r="H83" s="97"/>
      <c r="I83" s="99">
        <f>I79+I81</f>
        <v>3335</v>
      </c>
    </row>
    <row r="84" spans="1:14" s="24" customFormat="1" ht="4.3499999999999996" customHeight="1">
      <c r="B84" s="25"/>
      <c r="C84" s="26"/>
      <c r="D84" s="26"/>
      <c r="E84" s="217"/>
      <c r="F84" s="48"/>
      <c r="I84" s="91"/>
    </row>
    <row r="85" spans="1:14" s="24" customFormat="1" ht="12.75">
      <c r="A85" s="49" t="s">
        <v>13</v>
      </c>
      <c r="B85" s="25"/>
      <c r="C85" s="26"/>
      <c r="D85" s="26"/>
      <c r="E85" s="218">
        <v>0.04</v>
      </c>
      <c r="F85" s="48"/>
      <c r="I85" s="476">
        <f>ROUND(I83*E85,2)</f>
        <v>133</v>
      </c>
    </row>
    <row r="86" spans="1:14" s="24" customFormat="1" ht="3" customHeight="1">
      <c r="A86" s="50"/>
      <c r="B86" s="51"/>
      <c r="C86" s="52"/>
      <c r="D86" s="52"/>
      <c r="E86" s="219"/>
      <c r="F86" s="57"/>
      <c r="G86" s="50"/>
      <c r="H86" s="50"/>
      <c r="I86" s="93"/>
    </row>
    <row r="87" spans="1:14" s="24" customFormat="1" ht="3" customHeight="1">
      <c r="B87" s="25"/>
      <c r="C87" s="26"/>
      <c r="D87" s="26"/>
      <c r="E87" s="220"/>
      <c r="F87" s="65"/>
      <c r="G87" s="59"/>
      <c r="H87" s="59"/>
      <c r="I87" s="91"/>
    </row>
    <row r="88" spans="1:14" s="24" customFormat="1" ht="12.75">
      <c r="A88" s="53" t="s">
        <v>216</v>
      </c>
      <c r="B88" s="54"/>
      <c r="C88" s="55"/>
      <c r="D88" s="55"/>
      <c r="E88" s="217"/>
      <c r="F88" s="48"/>
      <c r="I88" s="92">
        <f>I83+I85</f>
        <v>3468</v>
      </c>
    </row>
    <row r="89" spans="1:14" s="24" customFormat="1" ht="12.75">
      <c r="A89" s="24" t="s">
        <v>14</v>
      </c>
      <c r="B89" s="25"/>
      <c r="D89" s="26"/>
      <c r="E89" s="28">
        <v>0.2</v>
      </c>
      <c r="F89" s="28"/>
      <c r="I89" s="476">
        <f>ROUND(I88*E89,2)</f>
        <v>694</v>
      </c>
    </row>
    <row r="90" spans="1:14" s="24" customFormat="1" ht="3" customHeight="1">
      <c r="B90" s="25"/>
      <c r="C90" s="26"/>
      <c r="D90" s="26"/>
      <c r="E90" s="217"/>
      <c r="F90" s="48"/>
      <c r="I90" s="91"/>
    </row>
    <row r="91" spans="1:14" s="24" customFormat="1" ht="12.75">
      <c r="A91" s="184" t="s">
        <v>217</v>
      </c>
      <c r="B91" s="196"/>
      <c r="C91" s="185"/>
      <c r="D91" s="185"/>
      <c r="E91" s="188"/>
      <c r="F91" s="188"/>
      <c r="G91" s="186"/>
      <c r="H91" s="186"/>
      <c r="I91" s="189">
        <f>SUM(I87:I89)</f>
        <v>4162</v>
      </c>
    </row>
    <row r="92" spans="1:14" ht="4.3499999999999996" customHeight="1">
      <c r="G92" s="8"/>
      <c r="H92" s="8"/>
      <c r="I92" s="9"/>
      <c r="J92" s="1"/>
    </row>
    <row r="93" spans="1:14" ht="12.75">
      <c r="A93" s="198" t="s">
        <v>106</v>
      </c>
      <c r="E93" s="255">
        <f>I88/E33</f>
        <v>1.22E-4</v>
      </c>
      <c r="G93" s="8"/>
      <c r="H93" s="8"/>
      <c r="I93" s="9"/>
      <c r="J93" s="1"/>
    </row>
  </sheetData>
  <sheetProtection algorithmName="SHA-512" hashValue="Qll0dstKQCHNNOEqii2T/RjeNNcjCrp3dDWibnw3iw8HqZBofqVvTabObY0OBQcn/O0Ax/IU9GCPJi1m/sx8eQ==" saltValue="ssbXa6kjqjbaQ/w+3NnM+Q==" spinCount="100000" sheet="1" objects="1" scenarios="1"/>
  <mergeCells count="15">
    <mergeCell ref="A79:C79"/>
    <mergeCell ref="H73:I74"/>
    <mergeCell ref="H2:I2"/>
    <mergeCell ref="A64:E64"/>
    <mergeCell ref="H42:I42"/>
    <mergeCell ref="A7:B7"/>
    <mergeCell ref="A9:B9"/>
    <mergeCell ref="A11:B11"/>
    <mergeCell ref="A21:B21"/>
    <mergeCell ref="A23:B23"/>
    <mergeCell ref="A25:B25"/>
    <mergeCell ref="A27:B27"/>
    <mergeCell ref="A29:B29"/>
    <mergeCell ref="A31:B31"/>
    <mergeCell ref="A35:B35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&amp;L&amp;"Arial,Fett"&amp;K01+030Angebot Bauphysik &amp;A
&amp;"Arial,Standard"nach VM.BP.2023&amp;R&amp;"Arial,Standard"&amp;K01+031Version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38100</xdr:rowOff>
                  </from>
                  <to>
                    <xdr:col>8</xdr:col>
                    <xdr:colOff>1009650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45</xdr:row>
                    <xdr:rowOff>38100</xdr:rowOff>
                  </from>
                  <to>
                    <xdr:col>8</xdr:col>
                    <xdr:colOff>1009650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48311-B1A0-4A14-A38F-16F8B8F041D9}">
  <sheetPr>
    <tabColor theme="6"/>
  </sheetPr>
  <dimension ref="A1:M99"/>
  <sheetViews>
    <sheetView showGridLines="0" topLeftCell="A47" zoomScaleNormal="100" zoomScaleSheetLayoutView="85" zoomScalePageLayoutView="70" workbookViewId="0">
      <selection activeCell="A77" sqref="A77:A84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23.25" customHeight="1">
      <c r="A2" s="107" t="s">
        <v>107</v>
      </c>
      <c r="E2" s="38"/>
      <c r="F2" s="38"/>
      <c r="G2" s="38"/>
      <c r="H2" s="648" t="s">
        <v>229</v>
      </c>
      <c r="I2" s="648"/>
      <c r="J2" s="43"/>
    </row>
    <row r="3" spans="1:10" s="10" customFormat="1" ht="2.1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1" customFormat="1" ht="12.95" customHeight="1">
      <c r="A6" s="645">
        <v>1</v>
      </c>
      <c r="B6" s="645"/>
      <c r="C6" s="76" t="s">
        <v>0</v>
      </c>
      <c r="D6" s="135">
        <f>E6/$E$32</f>
        <v>1E-3</v>
      </c>
      <c r="E6" s="479">
        <f>_1</f>
        <v>15000</v>
      </c>
      <c r="F6" s="245"/>
      <c r="G6" s="245"/>
      <c r="H6" s="526">
        <v>0</v>
      </c>
      <c r="I6" s="479">
        <f>E6*H6</f>
        <v>0</v>
      </c>
      <c r="J6" s="34"/>
    </row>
    <row r="7" spans="1:10" ht="3.95" customHeight="1">
      <c r="B7" s="4"/>
      <c r="D7" s="136"/>
      <c r="E7" s="44"/>
      <c r="F7" s="33"/>
      <c r="G7" s="33"/>
      <c r="H7" s="527"/>
      <c r="I7" s="44"/>
      <c r="J7" s="44"/>
    </row>
    <row r="8" spans="1:10" s="11" customFormat="1" ht="12.95" customHeight="1">
      <c r="A8" s="645">
        <v>2</v>
      </c>
      <c r="B8" s="645"/>
      <c r="C8" s="76" t="s">
        <v>1</v>
      </c>
      <c r="D8" s="135">
        <f>E8/$E$32</f>
        <v>0.316</v>
      </c>
      <c r="E8" s="479">
        <f>_2</f>
        <v>9000000</v>
      </c>
      <c r="F8" s="245"/>
      <c r="G8" s="245"/>
      <c r="H8" s="528">
        <v>0</v>
      </c>
      <c r="I8" s="479">
        <f>E8*H8</f>
        <v>0</v>
      </c>
      <c r="J8" s="34"/>
    </row>
    <row r="9" spans="1:10" ht="3.95" customHeight="1">
      <c r="D9" s="136"/>
      <c r="E9" s="34"/>
      <c r="F9" s="33"/>
      <c r="G9" s="33"/>
      <c r="H9" s="527"/>
      <c r="I9" s="34"/>
      <c r="J9" s="34"/>
    </row>
    <row r="10" spans="1:10" s="10" customFormat="1" ht="12.95" customHeight="1">
      <c r="A10" s="645">
        <v>3</v>
      </c>
      <c r="B10" s="645"/>
      <c r="C10" s="76" t="s">
        <v>7</v>
      </c>
      <c r="D10" s="135">
        <f>E10/$E$32</f>
        <v>0.19900000000000001</v>
      </c>
      <c r="E10" s="502">
        <f>_3</f>
        <v>5650000</v>
      </c>
      <c r="F10" s="245"/>
      <c r="G10" s="245"/>
      <c r="H10" s="527"/>
      <c r="I10" s="34"/>
      <c r="J10" s="34"/>
    </row>
    <row r="11" spans="1:10" ht="12.95" customHeight="1">
      <c r="A11" s="315">
        <v>3</v>
      </c>
      <c r="B11" s="79" t="s">
        <v>17</v>
      </c>
      <c r="C11" s="80" t="s">
        <v>18</v>
      </c>
      <c r="D11" s="137"/>
      <c r="E11" s="516">
        <f>_3.01</f>
        <v>900000</v>
      </c>
      <c r="F11" s="245"/>
      <c r="G11" s="245"/>
      <c r="H11" s="528">
        <v>1</v>
      </c>
      <c r="I11" s="503">
        <f t="shared" ref="I11:I18" si="0">E11*H11</f>
        <v>900000</v>
      </c>
      <c r="J11" s="34"/>
    </row>
    <row r="12" spans="1:10" ht="12.95" customHeight="1">
      <c r="A12" s="316">
        <v>3</v>
      </c>
      <c r="B12" s="83" t="s">
        <v>19</v>
      </c>
      <c r="C12" s="84" t="s">
        <v>26</v>
      </c>
      <c r="D12" s="138"/>
      <c r="E12" s="504">
        <f>_3.02</f>
        <v>1200000</v>
      </c>
      <c r="F12" s="245"/>
      <c r="G12" s="245"/>
      <c r="H12" s="528">
        <v>1</v>
      </c>
      <c r="I12" s="540">
        <f t="shared" si="0"/>
        <v>1200000</v>
      </c>
      <c r="J12" s="34"/>
    </row>
    <row r="13" spans="1:10" ht="12.95" customHeight="1">
      <c r="A13" s="316">
        <v>3</v>
      </c>
      <c r="B13" s="83" t="s">
        <v>20</v>
      </c>
      <c r="C13" s="84" t="s">
        <v>27</v>
      </c>
      <c r="D13" s="138"/>
      <c r="E13" s="517">
        <f>_3.03</f>
        <v>1000000</v>
      </c>
      <c r="F13" s="245"/>
      <c r="G13" s="245"/>
      <c r="H13" s="528">
        <v>1</v>
      </c>
      <c r="I13" s="540">
        <f t="shared" si="0"/>
        <v>1000000</v>
      </c>
      <c r="J13" s="34"/>
    </row>
    <row r="14" spans="1:10" ht="12.95" customHeight="1">
      <c r="A14" s="316">
        <v>3</v>
      </c>
      <c r="B14" s="83" t="s">
        <v>21</v>
      </c>
      <c r="C14" s="84" t="s">
        <v>28</v>
      </c>
      <c r="D14" s="138"/>
      <c r="E14" s="517">
        <f>_3.04</f>
        <v>1500000</v>
      </c>
      <c r="F14" s="245"/>
      <c r="G14" s="245"/>
      <c r="H14" s="528">
        <v>0</v>
      </c>
      <c r="I14" s="540">
        <f t="shared" si="0"/>
        <v>0</v>
      </c>
      <c r="J14" s="34"/>
    </row>
    <row r="15" spans="1:10" ht="12.95" customHeight="1">
      <c r="A15" s="316">
        <v>3</v>
      </c>
      <c r="B15" s="83" t="s">
        <v>22</v>
      </c>
      <c r="C15" s="84" t="s">
        <v>31</v>
      </c>
      <c r="D15" s="138"/>
      <c r="E15" s="517">
        <f>_3.05</f>
        <v>600000</v>
      </c>
      <c r="F15" s="245"/>
      <c r="G15" s="245"/>
      <c r="H15" s="528">
        <v>0</v>
      </c>
      <c r="I15" s="540">
        <f t="shared" si="0"/>
        <v>0</v>
      </c>
      <c r="J15" s="34"/>
    </row>
    <row r="16" spans="1:10" ht="12.95" customHeight="1">
      <c r="A16" s="316">
        <v>3</v>
      </c>
      <c r="B16" s="83" t="s">
        <v>23</v>
      </c>
      <c r="C16" s="84" t="s">
        <v>29</v>
      </c>
      <c r="D16" s="138"/>
      <c r="E16" s="517">
        <f>_3.06</f>
        <v>150000</v>
      </c>
      <c r="F16" s="245"/>
      <c r="G16" s="245"/>
      <c r="H16" s="528">
        <v>0</v>
      </c>
      <c r="I16" s="540">
        <f t="shared" si="0"/>
        <v>0</v>
      </c>
      <c r="J16" s="34"/>
    </row>
    <row r="17" spans="1:10" ht="12.95" customHeight="1">
      <c r="A17" s="316">
        <v>3</v>
      </c>
      <c r="B17" s="83" t="s">
        <v>24</v>
      </c>
      <c r="C17" s="84" t="s">
        <v>30</v>
      </c>
      <c r="D17" s="138"/>
      <c r="E17" s="517">
        <f>_3.07</f>
        <v>0</v>
      </c>
      <c r="F17" s="245"/>
      <c r="G17" s="245"/>
      <c r="H17" s="528">
        <v>0</v>
      </c>
      <c r="I17" s="540">
        <f t="shared" si="0"/>
        <v>0</v>
      </c>
      <c r="J17" s="34"/>
    </row>
    <row r="18" spans="1:10" ht="12.95" customHeight="1">
      <c r="A18" s="316">
        <v>3</v>
      </c>
      <c r="B18" s="83" t="s">
        <v>25</v>
      </c>
      <c r="C18" s="84" t="s">
        <v>8</v>
      </c>
      <c r="D18" s="138"/>
      <c r="E18" s="517">
        <f>_3.08</f>
        <v>300000</v>
      </c>
      <c r="F18" s="245"/>
      <c r="G18" s="245"/>
      <c r="H18" s="528">
        <v>0</v>
      </c>
      <c r="I18" s="541">
        <f t="shared" si="0"/>
        <v>0</v>
      </c>
      <c r="J18" s="34"/>
    </row>
    <row r="19" spans="1:10" ht="3.95" customHeight="1">
      <c r="D19" s="136"/>
      <c r="E19" s="34"/>
      <c r="F19" s="33"/>
      <c r="G19" s="33"/>
      <c r="H19" s="529"/>
      <c r="I19" s="34"/>
      <c r="J19" s="151"/>
    </row>
    <row r="20" spans="1:10" s="10" customFormat="1" ht="12.75" customHeight="1">
      <c r="A20" s="645">
        <v>4</v>
      </c>
      <c r="B20" s="645"/>
      <c r="C20" s="76" t="s">
        <v>2</v>
      </c>
      <c r="D20" s="135">
        <f>E20/$E$32</f>
        <v>0.21099999999999999</v>
      </c>
      <c r="E20" s="479">
        <f>_4</f>
        <v>6000000</v>
      </c>
      <c r="F20" s="245"/>
      <c r="G20" s="245"/>
      <c r="H20" s="528">
        <v>0</v>
      </c>
      <c r="I20" s="479">
        <f>E20*H20</f>
        <v>0</v>
      </c>
      <c r="J20" s="34"/>
    </row>
    <row r="21" spans="1:10" ht="3.95" customHeight="1">
      <c r="B21" s="4"/>
      <c r="D21" s="136"/>
      <c r="E21" s="34"/>
      <c r="F21" s="33"/>
      <c r="G21" s="33"/>
      <c r="H21" s="527"/>
      <c r="I21" s="34"/>
      <c r="J21" s="33"/>
    </row>
    <row r="22" spans="1:10" s="11" customFormat="1" ht="12.95" customHeight="1">
      <c r="A22" s="645">
        <v>5</v>
      </c>
      <c r="B22" s="645"/>
      <c r="C22" s="76" t="s">
        <v>9</v>
      </c>
      <c r="D22" s="135">
        <f>E22/$E$32</f>
        <v>5.8000000000000003E-2</v>
      </c>
      <c r="E22" s="503">
        <f>_5</f>
        <v>1650000</v>
      </c>
      <c r="F22" s="245"/>
      <c r="G22" s="245"/>
      <c r="H22" s="528">
        <v>0</v>
      </c>
      <c r="I22" s="479">
        <f>E22*H22</f>
        <v>0</v>
      </c>
      <c r="J22" s="34"/>
    </row>
    <row r="23" spans="1:10" ht="3.95" customHeight="1">
      <c r="D23" s="136"/>
      <c r="E23" s="34"/>
      <c r="F23" s="33"/>
      <c r="G23" s="33"/>
      <c r="H23" s="527"/>
      <c r="I23" s="34"/>
      <c r="J23" s="34"/>
    </row>
    <row r="24" spans="1:10" s="10" customFormat="1" ht="12.95" customHeight="1">
      <c r="A24" s="645">
        <v>6</v>
      </c>
      <c r="B24" s="645"/>
      <c r="C24" s="76" t="s">
        <v>3</v>
      </c>
      <c r="D24" s="135">
        <f>E24/$E$32</f>
        <v>1.7999999999999999E-2</v>
      </c>
      <c r="E24" s="479">
        <f>_6</f>
        <v>500000</v>
      </c>
      <c r="F24" s="245"/>
      <c r="G24" s="245"/>
      <c r="H24" s="528">
        <v>0</v>
      </c>
      <c r="I24" s="479">
        <f>E24*H24</f>
        <v>0</v>
      </c>
      <c r="J24" s="34"/>
    </row>
    <row r="25" spans="1:10" ht="3.95" customHeight="1">
      <c r="B25" s="13"/>
      <c r="D25" s="139"/>
      <c r="E25" s="34"/>
      <c r="F25" s="33"/>
      <c r="G25" s="33"/>
      <c r="H25" s="527"/>
      <c r="I25" s="34"/>
      <c r="J25" s="34"/>
    </row>
    <row r="26" spans="1:10" s="11" customFormat="1" ht="12.95" customHeight="1">
      <c r="A26" s="645">
        <v>7</v>
      </c>
      <c r="B26" s="645"/>
      <c r="C26" s="76" t="s">
        <v>113</v>
      </c>
      <c r="D26" s="135">
        <f>E26/$E$32</f>
        <v>0.14099999999999999</v>
      </c>
      <c r="E26" s="479">
        <f>_7</f>
        <v>4000000</v>
      </c>
      <c r="F26" s="245"/>
      <c r="G26" s="245"/>
      <c r="H26" s="528">
        <v>0</v>
      </c>
      <c r="I26" s="479">
        <f>E26*H26</f>
        <v>0</v>
      </c>
      <c r="J26" s="34"/>
    </row>
    <row r="27" spans="1:10" ht="3.95" customHeight="1">
      <c r="D27" s="139"/>
      <c r="E27" s="34"/>
      <c r="F27" s="33"/>
      <c r="G27" s="33"/>
      <c r="H27" s="527"/>
      <c r="I27" s="34"/>
      <c r="J27" s="34"/>
    </row>
    <row r="28" spans="1:10" s="11" customFormat="1" ht="12.95" customHeight="1">
      <c r="A28" s="645">
        <v>8</v>
      </c>
      <c r="B28" s="645"/>
      <c r="C28" s="76" t="s">
        <v>129</v>
      </c>
      <c r="D28" s="135">
        <f>E28/$E$32</f>
        <v>1E-3</v>
      </c>
      <c r="E28" s="479">
        <f>_8</f>
        <v>36000</v>
      </c>
      <c r="F28" s="245"/>
      <c r="G28" s="245"/>
      <c r="H28" s="528">
        <v>0</v>
      </c>
      <c r="I28" s="479">
        <f>E28*H28</f>
        <v>0</v>
      </c>
      <c r="J28" s="34"/>
    </row>
    <row r="29" spans="1:10" ht="3.95" customHeight="1">
      <c r="D29" s="139"/>
      <c r="E29" s="34"/>
      <c r="F29" s="33"/>
      <c r="G29" s="33"/>
      <c r="H29" s="529"/>
      <c r="I29" s="34"/>
      <c r="J29" s="151"/>
    </row>
    <row r="30" spans="1:10" s="11" customFormat="1" ht="12.95" customHeight="1">
      <c r="A30" s="645">
        <v>9</v>
      </c>
      <c r="B30" s="645"/>
      <c r="C30" s="76" t="s">
        <v>10</v>
      </c>
      <c r="D30" s="135">
        <f>E30/$E$32</f>
        <v>5.6000000000000001E-2</v>
      </c>
      <c r="E30" s="479">
        <f>_9</f>
        <v>1600000</v>
      </c>
      <c r="F30" s="245"/>
      <c r="G30" s="245"/>
      <c r="H30" s="528">
        <v>0.1</v>
      </c>
      <c r="I30" s="479">
        <f>E30*H30</f>
        <v>160000</v>
      </c>
      <c r="J30" s="34"/>
    </row>
    <row r="31" spans="1:10" ht="9.9499999999999993" customHeight="1">
      <c r="B31" s="13"/>
      <c r="D31" s="32"/>
      <c r="E31" s="34"/>
      <c r="F31" s="33"/>
      <c r="G31" s="33"/>
      <c r="H31" s="542"/>
      <c r="I31" s="34"/>
      <c r="J31" s="1"/>
    </row>
    <row r="32" spans="1:10" ht="12.95" customHeight="1">
      <c r="A32" s="113" t="s">
        <v>12</v>
      </c>
      <c r="B32" s="114"/>
      <c r="C32" s="114"/>
      <c r="D32" s="71">
        <f>SUM(D6:D30)</f>
        <v>1</v>
      </c>
      <c r="E32" s="486">
        <f>_EK</f>
        <v>28451000</v>
      </c>
      <c r="F32" s="542"/>
      <c r="G32" s="542"/>
      <c r="H32" s="542"/>
      <c r="I32" s="542"/>
      <c r="J32" s="23"/>
    </row>
    <row r="33" spans="1:11" ht="3.95" customHeight="1">
      <c r="B33" s="248"/>
      <c r="D33" s="32"/>
      <c r="E33" s="23"/>
      <c r="H33" s="543"/>
      <c r="J33" s="1"/>
    </row>
    <row r="34" spans="1:11" s="10" customFormat="1" ht="12.95" customHeight="1">
      <c r="A34" s="306"/>
      <c r="B34" s="75" t="s">
        <v>159</v>
      </c>
      <c r="C34" s="76"/>
      <c r="D34" s="135"/>
      <c r="E34" s="479">
        <f>_mvB</f>
        <v>120000</v>
      </c>
      <c r="F34" s="245"/>
      <c r="G34" s="245"/>
      <c r="H34" s="528">
        <v>1</v>
      </c>
      <c r="I34" s="479">
        <f>E34*H34</f>
        <v>120000</v>
      </c>
    </row>
    <row r="35" spans="1:11" ht="6" customHeight="1">
      <c r="D35" s="32"/>
    </row>
    <row r="36" spans="1:11" s="14" customFormat="1" ht="12.95" customHeight="1">
      <c r="A36" s="191" t="s">
        <v>32</v>
      </c>
      <c r="B36" s="192"/>
      <c r="C36" s="192"/>
      <c r="D36" s="203"/>
      <c r="E36" s="203"/>
      <c r="F36" s="203"/>
      <c r="G36" s="203"/>
      <c r="H36" s="204"/>
      <c r="I36" s="353">
        <f>ROUND(SUM(I6:I34),2)</f>
        <v>3380000</v>
      </c>
      <c r="J36" s="602"/>
      <c r="K36" s="605"/>
    </row>
    <row r="37" spans="1:11" ht="12.95" customHeight="1">
      <c r="A37" s="156"/>
      <c r="B37" s="156"/>
      <c r="C37" s="156"/>
      <c r="D37" s="156"/>
      <c r="E37" s="156"/>
      <c r="F37" s="156"/>
      <c r="G37" s="156"/>
      <c r="I37" s="177"/>
    </row>
    <row r="38" spans="1:11" ht="12.75" customHeight="1">
      <c r="A38" s="154" t="s">
        <v>158</v>
      </c>
      <c r="B38" s="154"/>
      <c r="C38" s="155"/>
      <c r="D38" s="155"/>
      <c r="E38" s="155"/>
      <c r="F38" s="155"/>
      <c r="G38" s="155"/>
      <c r="H38" s="154"/>
      <c r="I38" s="250"/>
      <c r="J38" s="157"/>
    </row>
    <row r="39" spans="1:11" ht="2.1" customHeight="1">
      <c r="A39" s="156"/>
      <c r="B39" s="156"/>
      <c r="C39" s="156"/>
      <c r="D39" s="156"/>
      <c r="E39" s="156"/>
      <c r="F39" s="156"/>
      <c r="G39" s="156"/>
      <c r="I39" s="177"/>
    </row>
    <row r="40" spans="1:11" ht="12.75" customHeight="1">
      <c r="A40" s="157" t="s">
        <v>78</v>
      </c>
      <c r="B40" s="156"/>
      <c r="C40" s="156"/>
      <c r="D40" s="156"/>
      <c r="E40" s="156"/>
      <c r="F40" s="156"/>
      <c r="G40" s="156"/>
      <c r="I40" s="177"/>
    </row>
    <row r="41" spans="1:11" ht="12.75" customHeight="1">
      <c r="A41" s="19"/>
      <c r="B41" s="19"/>
      <c r="E41" s="158" t="s">
        <v>5</v>
      </c>
      <c r="F41" s="159" t="s">
        <v>4</v>
      </c>
      <c r="G41" s="159"/>
      <c r="H41" s="646" t="s">
        <v>169</v>
      </c>
      <c r="I41" s="646"/>
      <c r="J41" s="241"/>
    </row>
    <row r="42" spans="1:11" ht="12.75" customHeight="1">
      <c r="B42" s="20" t="s">
        <v>46</v>
      </c>
      <c r="C42" s="35"/>
      <c r="D42" s="35"/>
      <c r="E42" s="117">
        <v>22</v>
      </c>
      <c r="F42" s="160" t="s">
        <v>58</v>
      </c>
      <c r="G42" s="159"/>
      <c r="H42" s="305"/>
      <c r="I42" s="304"/>
      <c r="J42" s="241"/>
    </row>
    <row r="43" spans="1:11" ht="12.75" customHeight="1">
      <c r="B43" s="21" t="s">
        <v>47</v>
      </c>
      <c r="C43" s="36"/>
      <c r="D43" s="36"/>
      <c r="E43" s="118">
        <v>2</v>
      </c>
      <c r="F43" s="161" t="s">
        <v>6</v>
      </c>
      <c r="G43" s="159"/>
      <c r="H43" s="299"/>
      <c r="I43" s="303"/>
      <c r="J43" s="241"/>
    </row>
    <row r="44" spans="1:11" ht="12.75" customHeight="1">
      <c r="B44" s="21" t="s">
        <v>48</v>
      </c>
      <c r="C44" s="36"/>
      <c r="D44" s="36"/>
      <c r="E44" s="118">
        <v>1</v>
      </c>
      <c r="F44" s="161" t="s">
        <v>6</v>
      </c>
      <c r="G44" s="159"/>
      <c r="H44" s="299"/>
      <c r="I44" s="303"/>
      <c r="J44" s="241"/>
    </row>
    <row r="45" spans="1:11" ht="12.75" customHeight="1">
      <c r="B45" s="21" t="s">
        <v>49</v>
      </c>
      <c r="C45" s="36"/>
      <c r="D45" s="36"/>
      <c r="E45" s="118">
        <v>2</v>
      </c>
      <c r="F45" s="161" t="s">
        <v>6</v>
      </c>
      <c r="G45" s="159"/>
      <c r="H45" s="299"/>
      <c r="I45" s="303"/>
      <c r="J45" s="241"/>
    </row>
    <row r="46" spans="1:11" ht="4.5" customHeight="1">
      <c r="A46" s="19"/>
      <c r="B46" s="19"/>
      <c r="E46" s="162"/>
      <c r="F46" s="162"/>
      <c r="G46" s="162"/>
      <c r="H46" s="305"/>
      <c r="I46" s="304"/>
      <c r="J46" s="241"/>
    </row>
    <row r="47" spans="1:11" ht="12.75" customHeight="1">
      <c r="B47" s="553"/>
      <c r="C47" s="36" t="s">
        <v>204</v>
      </c>
      <c r="D47" s="36"/>
      <c r="E47" s="118">
        <v>0</v>
      </c>
      <c r="F47" s="161" t="s">
        <v>240</v>
      </c>
      <c r="G47" s="159"/>
      <c r="H47" s="302"/>
      <c r="I47" s="301"/>
      <c r="J47" s="241"/>
    </row>
    <row r="48" spans="1:11" ht="12.75" customHeight="1">
      <c r="B48" s="553"/>
      <c r="C48" s="36" t="s">
        <v>166</v>
      </c>
      <c r="D48" s="36"/>
      <c r="E48" s="118">
        <v>0</v>
      </c>
      <c r="F48" s="161" t="s">
        <v>240</v>
      </c>
      <c r="G48" s="159"/>
      <c r="H48" s="299"/>
      <c r="I48" s="298"/>
      <c r="J48" s="241"/>
    </row>
    <row r="49" spans="1:10" ht="12.75" customHeight="1">
      <c r="B49" s="553"/>
      <c r="C49" s="36" t="s">
        <v>165</v>
      </c>
      <c r="D49" s="36"/>
      <c r="E49" s="118">
        <v>0</v>
      </c>
      <c r="F49" s="161" t="s">
        <v>240</v>
      </c>
      <c r="G49" s="159"/>
      <c r="H49" s="299"/>
      <c r="I49" s="298"/>
      <c r="J49" s="241"/>
    </row>
    <row r="50" spans="1:10" ht="3.95" customHeight="1">
      <c r="B50" s="19"/>
      <c r="C50" s="532"/>
      <c r="D50" s="532"/>
      <c r="E50" s="606"/>
      <c r="F50" s="533"/>
      <c r="G50" s="241"/>
      <c r="I50" s="238"/>
      <c r="J50" s="241"/>
    </row>
    <row r="51" spans="1:10" ht="12.75" customHeight="1">
      <c r="B51" s="19" t="s">
        <v>45</v>
      </c>
      <c r="C51" s="163"/>
      <c r="D51" s="164"/>
      <c r="E51" s="182">
        <f>SUM(E42:E49)</f>
        <v>27</v>
      </c>
      <c r="F51" s="164"/>
      <c r="G51" s="164"/>
      <c r="I51" s="238"/>
      <c r="J51" s="1"/>
    </row>
    <row r="52" spans="1:10" ht="3.95" customHeight="1">
      <c r="B52" s="19"/>
      <c r="C52" s="164"/>
      <c r="D52" s="164"/>
      <c r="E52" s="164"/>
      <c r="F52" s="164"/>
      <c r="G52" s="164"/>
      <c r="I52" s="238"/>
      <c r="J52" s="1"/>
    </row>
    <row r="53" spans="1:10" ht="12.95" customHeight="1">
      <c r="A53" s="157" t="s">
        <v>15</v>
      </c>
      <c r="B53" s="157"/>
      <c r="C53" s="156"/>
      <c r="D53" s="156"/>
      <c r="E53" s="156"/>
      <c r="F53" s="156"/>
      <c r="G53" s="156"/>
      <c r="H53" s="251"/>
      <c r="I53" s="1"/>
    </row>
    <row r="54" spans="1:10" ht="4.5" customHeight="1">
      <c r="A54" s="157"/>
      <c r="B54" s="157"/>
      <c r="C54" s="157"/>
      <c r="I54" s="1"/>
    </row>
    <row r="55" spans="1:10" ht="12.75" customHeight="1">
      <c r="A55" s="166" t="s">
        <v>11</v>
      </c>
      <c r="B55" s="166"/>
      <c r="E55" s="195">
        <f>I36</f>
        <v>3380000</v>
      </c>
      <c r="I55" s="1"/>
    </row>
    <row r="56" spans="1:10" ht="3.95" customHeight="1">
      <c r="A56" s="19"/>
      <c r="B56" s="19"/>
      <c r="C56" s="19"/>
      <c r="D56" s="19"/>
      <c r="E56" s="163"/>
      <c r="I56"/>
    </row>
    <row r="57" spans="1:10" ht="12.75" customHeight="1">
      <c r="A57" s="19" t="s">
        <v>74</v>
      </c>
      <c r="B57" s="19"/>
      <c r="E57" s="100">
        <f>0.03*E51+0.73</f>
        <v>1.54</v>
      </c>
      <c r="F57" s="661" t="str">
        <f>IF(I36&lt;50000,"! gemäß TA.9 (3): Ist die Bemessungsgrundlage niedriger als 50.000 €, sollte der Ermittlungsweg über Abschätzung des Büro- / Personalaufwandes gewählt werden","")</f>
        <v/>
      </c>
      <c r="G57" s="661"/>
      <c r="H57" s="661"/>
      <c r="I57" s="661"/>
    </row>
    <row r="58" spans="1:10" ht="3.95" customHeight="1">
      <c r="A58" s="19"/>
      <c r="B58" s="19"/>
      <c r="E58" s="29"/>
      <c r="F58" s="661"/>
      <c r="G58" s="661"/>
      <c r="H58" s="661"/>
      <c r="I58" s="661"/>
    </row>
    <row r="59" spans="1:10" ht="12.75" customHeight="1">
      <c r="A59" s="19" t="s">
        <v>76</v>
      </c>
      <c r="B59" s="19"/>
      <c r="E59" s="544">
        <f>ROUND(IF(E55&lt;2000000,202*E55^(-0.2248)*E57/100,(37.8*E55^(-0.109)*E57/100)),6)</f>
        <v>0.11307300000000001</v>
      </c>
      <c r="F59" s="661"/>
      <c r="G59" s="661"/>
      <c r="H59" s="661"/>
      <c r="I59" s="661"/>
    </row>
    <row r="60" spans="1:10" ht="15.95" customHeight="1">
      <c r="A60" s="24" t="s">
        <v>85</v>
      </c>
      <c r="B60" s="24"/>
      <c r="E60" s="513">
        <f>202*E55^(-0.2248)*E57/100</f>
        <v>0.10596700000000001</v>
      </c>
      <c r="F60" s="545" t="str">
        <f>IF(E55&lt;2000000,"(PL + ÖBA)","")</f>
        <v/>
      </c>
      <c r="G60" s="545"/>
      <c r="I60"/>
    </row>
    <row r="61" spans="1:10" ht="15.95" customHeight="1">
      <c r="A61" s="24" t="s">
        <v>86</v>
      </c>
      <c r="B61" s="24"/>
      <c r="C61" s="24"/>
      <c r="E61" s="513">
        <f>37.8*E55^(-0.109)*E57/100</f>
        <v>0.11307300000000001</v>
      </c>
      <c r="F61" s="207" t="str">
        <f>IF(E55&gt;1999999.99,"(PL + ÖBA)","")</f>
        <v>(PL + ÖBA)</v>
      </c>
      <c r="G61" s="207"/>
      <c r="I61"/>
    </row>
    <row r="62" spans="1:10" ht="13.5" customHeight="1">
      <c r="A62" s="24" t="s">
        <v>140</v>
      </c>
      <c r="B62" s="24"/>
      <c r="C62" s="24"/>
      <c r="E62" s="257">
        <v>0</v>
      </c>
      <c r="F62" s="207"/>
      <c r="H62" s="1"/>
      <c r="I62"/>
    </row>
    <row r="63" spans="1:10" ht="2.1" customHeight="1">
      <c r="A63" s="19"/>
      <c r="B63" s="19"/>
      <c r="E63" s="167"/>
      <c r="F63" s="167"/>
      <c r="G63" s="167"/>
      <c r="H63" s="1"/>
      <c r="I63"/>
    </row>
    <row r="64" spans="1:10" ht="15" customHeight="1">
      <c r="A64" s="22" t="s">
        <v>230</v>
      </c>
      <c r="B64" s="20"/>
      <c r="C64" s="168"/>
      <c r="D64" s="168"/>
      <c r="E64" s="169"/>
      <c r="F64" s="470">
        <f>E55*E59*(1+E62)</f>
        <v>382187</v>
      </c>
      <c r="G64" s="207"/>
      <c r="I64" s="1"/>
    </row>
    <row r="65" spans="1:11" ht="12.95" customHeight="1">
      <c r="A65" s="24"/>
      <c r="B65" s="19"/>
      <c r="C65" s="156"/>
      <c r="D65" s="275" t="s">
        <v>147</v>
      </c>
      <c r="E65" s="270" t="s">
        <v>5</v>
      </c>
      <c r="F65" s="170"/>
      <c r="G65" s="560"/>
      <c r="H65" s="158"/>
      <c r="I65" s="30"/>
    </row>
    <row r="66" spans="1:11" ht="12.75" customHeight="1">
      <c r="A66" s="156" t="s">
        <v>53</v>
      </c>
      <c r="B66" s="156"/>
      <c r="D66" s="271">
        <v>0.02</v>
      </c>
      <c r="E66" s="222">
        <v>0.02</v>
      </c>
      <c r="F66" s="177">
        <f t="shared" ref="F66:F75" si="1">$F$64*E66</f>
        <v>7644</v>
      </c>
      <c r="G66" s="295"/>
      <c r="H66" s="561"/>
      <c r="I66" s="177"/>
    </row>
    <row r="67" spans="1:11" ht="12.75" customHeight="1">
      <c r="A67" s="156" t="s">
        <v>35</v>
      </c>
      <c r="B67" s="156"/>
      <c r="D67" s="271">
        <v>0.09</v>
      </c>
      <c r="E67" s="223">
        <v>0.09</v>
      </c>
      <c r="F67" s="177">
        <f t="shared" si="1"/>
        <v>34397</v>
      </c>
      <c r="G67" s="294"/>
      <c r="H67" s="562"/>
      <c r="I67" s="177"/>
    </row>
    <row r="68" spans="1:11" ht="12.75" customHeight="1">
      <c r="A68" s="156" t="s">
        <v>36</v>
      </c>
      <c r="B68" s="156"/>
      <c r="D68" s="271">
        <v>0.16</v>
      </c>
      <c r="E68" s="223">
        <v>0.16</v>
      </c>
      <c r="F68" s="177">
        <f t="shared" si="1"/>
        <v>61150</v>
      </c>
      <c r="G68" s="294"/>
      <c r="H68" s="562"/>
      <c r="I68" s="177"/>
    </row>
    <row r="69" spans="1:11" ht="12.75" customHeight="1">
      <c r="A69" s="156" t="s">
        <v>37</v>
      </c>
      <c r="B69" s="156"/>
      <c r="D69" s="271">
        <v>0.05</v>
      </c>
      <c r="E69" s="223">
        <v>0.05</v>
      </c>
      <c r="F69" s="177">
        <f t="shared" si="1"/>
        <v>19109</v>
      </c>
      <c r="G69" s="294"/>
      <c r="H69" s="562"/>
      <c r="I69" s="177"/>
      <c r="K69" s="1" t="s">
        <v>87</v>
      </c>
    </row>
    <row r="70" spans="1:11" ht="12.75" customHeight="1">
      <c r="A70" s="156" t="s">
        <v>38</v>
      </c>
      <c r="B70" s="156"/>
      <c r="D70" s="271">
        <v>0.2</v>
      </c>
      <c r="E70" s="223">
        <v>0.2</v>
      </c>
      <c r="F70" s="177">
        <f t="shared" si="1"/>
        <v>76437</v>
      </c>
      <c r="G70" s="294"/>
      <c r="H70" s="562"/>
      <c r="I70" s="177"/>
    </row>
    <row r="71" spans="1:11" ht="12.75" customHeight="1">
      <c r="A71" s="156" t="s">
        <v>39</v>
      </c>
      <c r="B71" s="156"/>
      <c r="D71" s="271">
        <v>0.05</v>
      </c>
      <c r="E71" s="223">
        <v>0.05</v>
      </c>
      <c r="F71" s="177">
        <f t="shared" si="1"/>
        <v>19109</v>
      </c>
      <c r="G71" s="295"/>
      <c r="H71" s="561"/>
      <c r="I71" s="177"/>
    </row>
    <row r="72" spans="1:11" ht="12.75" customHeight="1">
      <c r="A72" s="156" t="s">
        <v>61</v>
      </c>
      <c r="B72" s="156"/>
      <c r="D72" s="271">
        <v>0.02</v>
      </c>
      <c r="E72" s="223">
        <v>0.02</v>
      </c>
      <c r="F72" s="177">
        <f t="shared" si="1"/>
        <v>7644</v>
      </c>
      <c r="G72" s="294"/>
      <c r="H72" s="562"/>
      <c r="I72" s="177"/>
    </row>
    <row r="73" spans="1:11" ht="12.75" customHeight="1">
      <c r="A73" s="156" t="s">
        <v>54</v>
      </c>
      <c r="B73" s="156"/>
      <c r="D73" s="271">
        <v>0.04</v>
      </c>
      <c r="E73" s="223">
        <v>0.04</v>
      </c>
      <c r="F73" s="177">
        <f t="shared" si="1"/>
        <v>15287</v>
      </c>
      <c r="G73" s="294"/>
      <c r="H73" s="562"/>
      <c r="I73" s="177"/>
    </row>
    <row r="74" spans="1:11" ht="12.75" customHeight="1">
      <c r="A74" s="156" t="s">
        <v>75</v>
      </c>
      <c r="B74" s="156"/>
      <c r="D74" s="271">
        <v>0.35</v>
      </c>
      <c r="E74" s="223">
        <v>0.35</v>
      </c>
      <c r="F74" s="177">
        <f t="shared" si="1"/>
        <v>133765</v>
      </c>
      <c r="G74" s="294"/>
      <c r="H74" s="562"/>
      <c r="I74" s="177"/>
    </row>
    <row r="75" spans="1:11" ht="12.75" customHeight="1">
      <c r="A75" s="168" t="s">
        <v>55</v>
      </c>
      <c r="B75" s="168"/>
      <c r="C75" s="35"/>
      <c r="D75" s="272">
        <v>0.02</v>
      </c>
      <c r="E75" s="224">
        <v>0.02</v>
      </c>
      <c r="F75" s="178">
        <f t="shared" si="1"/>
        <v>7644</v>
      </c>
      <c r="G75" s="293"/>
      <c r="H75" s="563"/>
      <c r="I75" s="178"/>
    </row>
    <row r="76" spans="1:11" s="16" customFormat="1" ht="18.600000000000001" customHeight="1">
      <c r="A76" s="292" t="s">
        <v>44</v>
      </c>
      <c r="B76" s="417"/>
      <c r="D76" s="621">
        <f>SUM(D66:D75)</f>
        <v>1</v>
      </c>
      <c r="E76" s="289">
        <f>SUM(E66:E75)</f>
        <v>1</v>
      </c>
      <c r="F76" s="420">
        <f>SUM(F66:F75)</f>
        <v>382186</v>
      </c>
      <c r="G76" s="288"/>
      <c r="H76" s="289"/>
      <c r="I76" s="420"/>
      <c r="J76" s="515"/>
    </row>
    <row r="77" spans="1:11" ht="12.75" customHeight="1">
      <c r="A77" s="534" t="s">
        <v>218</v>
      </c>
      <c r="B77" s="638"/>
      <c r="D77" s="535">
        <v>0.02</v>
      </c>
      <c r="E77" s="222">
        <v>0</v>
      </c>
      <c r="F77" s="177">
        <f t="shared" ref="F77:F84" si="2">$F$64*E77</f>
        <v>0</v>
      </c>
      <c r="G77" s="172"/>
      <c r="H77" s="177"/>
      <c r="I77" s="91"/>
    </row>
    <row r="78" spans="1:11" ht="12.75" customHeight="1">
      <c r="A78" s="534" t="s">
        <v>187</v>
      </c>
      <c r="B78" s="638"/>
      <c r="D78" s="535">
        <v>1.4999999999999999E-2</v>
      </c>
      <c r="E78" s="223">
        <v>0</v>
      </c>
      <c r="F78" s="177">
        <f t="shared" si="2"/>
        <v>0</v>
      </c>
      <c r="G78" s="172"/>
      <c r="H78" s="177"/>
      <c r="I78" s="91"/>
    </row>
    <row r="79" spans="1:11" ht="12.75" customHeight="1">
      <c r="A79" s="534" t="s">
        <v>219</v>
      </c>
      <c r="B79" s="638"/>
      <c r="D79" s="535">
        <v>2.5000000000000001E-2</v>
      </c>
      <c r="E79" s="223">
        <v>0</v>
      </c>
      <c r="F79" s="177">
        <f t="shared" si="2"/>
        <v>0</v>
      </c>
      <c r="G79" s="172"/>
      <c r="H79" s="177"/>
      <c r="I79" s="91"/>
    </row>
    <row r="80" spans="1:11" ht="12.75" customHeight="1">
      <c r="A80" s="534" t="s">
        <v>220</v>
      </c>
      <c r="B80" s="638"/>
      <c r="D80" s="535">
        <v>0.03</v>
      </c>
      <c r="E80" s="473">
        <v>0</v>
      </c>
      <c r="F80" s="177">
        <f t="shared" si="2"/>
        <v>0</v>
      </c>
      <c r="G80" s="172"/>
      <c r="H80" s="177"/>
      <c r="I80" s="91"/>
    </row>
    <row r="81" spans="1:13" ht="12.75" customHeight="1">
      <c r="A81" s="534" t="s">
        <v>222</v>
      </c>
      <c r="B81" s="638"/>
      <c r="D81" s="535">
        <v>0.02</v>
      </c>
      <c r="E81" s="471">
        <v>0</v>
      </c>
      <c r="F81" s="177">
        <f t="shared" si="2"/>
        <v>0</v>
      </c>
      <c r="G81" s="172"/>
      <c r="H81" s="177"/>
      <c r="I81" s="91"/>
    </row>
    <row r="82" spans="1:13" ht="12.75" customHeight="1">
      <c r="A82" s="534" t="s">
        <v>224</v>
      </c>
      <c r="B82" s="638"/>
      <c r="D82" s="295">
        <v>0.01</v>
      </c>
      <c r="E82" s="471">
        <v>0</v>
      </c>
      <c r="F82" s="177">
        <f t="shared" si="2"/>
        <v>0</v>
      </c>
      <c r="G82" s="172"/>
      <c r="H82" s="177"/>
      <c r="I82" s="91"/>
    </row>
    <row r="83" spans="1:13" ht="13.5" customHeight="1">
      <c r="A83" s="632" t="s">
        <v>250</v>
      </c>
      <c r="B83" s="638"/>
      <c r="D83" s="295">
        <v>0.01</v>
      </c>
      <c r="E83" s="471">
        <v>0</v>
      </c>
      <c r="F83" s="177">
        <f t="shared" si="2"/>
        <v>0</v>
      </c>
      <c r="G83" s="172"/>
      <c r="H83" s="177"/>
      <c r="I83" s="91"/>
    </row>
    <row r="84" spans="1:13" ht="12.75" customHeight="1">
      <c r="A84" s="634" t="s">
        <v>257</v>
      </c>
      <c r="B84" s="633"/>
      <c r="C84" s="35"/>
      <c r="D84" s="493">
        <v>0.04</v>
      </c>
      <c r="E84" s="224">
        <v>0</v>
      </c>
      <c r="F84" s="178">
        <f t="shared" si="2"/>
        <v>0</v>
      </c>
      <c r="G84" s="600"/>
      <c r="H84" s="178"/>
      <c r="I84" s="603"/>
      <c r="J84" s="1"/>
    </row>
    <row r="85" spans="1:13" ht="12.75" customHeight="1">
      <c r="A85" s="644" t="s">
        <v>251</v>
      </c>
      <c r="B85" s="644"/>
      <c r="C85" s="644"/>
      <c r="D85" s="622">
        <f>SUM(D76:D84)</f>
        <v>1.17</v>
      </c>
      <c r="E85" s="172">
        <f>SUM(E76:E84)</f>
        <v>1</v>
      </c>
      <c r="F85" s="288">
        <f>SUM(F77:F84)+F76</f>
        <v>382186</v>
      </c>
      <c r="H85" s="172"/>
      <c r="I85" s="546">
        <f>F85</f>
        <v>382186</v>
      </c>
      <c r="J85" s="1"/>
      <c r="K85" s="9"/>
    </row>
    <row r="86" spans="1:13" ht="12.75" customHeight="1">
      <c r="A86" s="175"/>
      <c r="B86" s="19"/>
      <c r="D86" s="172"/>
      <c r="E86" s="172"/>
      <c r="F86" s="179"/>
      <c r="G86" s="8"/>
      <c r="I86" s="356"/>
      <c r="J86" s="1"/>
    </row>
    <row r="87" spans="1:13" ht="12.75" customHeight="1">
      <c r="A87" s="33" t="s">
        <v>123</v>
      </c>
      <c r="E87" s="357">
        <v>0</v>
      </c>
      <c r="F87" s="229">
        <v>0</v>
      </c>
      <c r="G87" s="8"/>
      <c r="I87" s="91">
        <f>E87*F87</f>
        <v>0</v>
      </c>
      <c r="K87"/>
      <c r="L87"/>
      <c r="M87"/>
    </row>
    <row r="88" spans="1:13" ht="3" customHeight="1">
      <c r="E88" s="108"/>
      <c r="I88"/>
    </row>
    <row r="89" spans="1:13" s="24" customFormat="1" ht="12.75">
      <c r="A89" s="94" t="s">
        <v>231</v>
      </c>
      <c r="B89" s="95"/>
      <c r="C89" s="96"/>
      <c r="D89" s="98"/>
      <c r="E89" s="109"/>
      <c r="F89" s="97"/>
      <c r="G89" s="97"/>
      <c r="H89" s="97"/>
      <c r="I89" s="99">
        <f>I85+I87</f>
        <v>382186</v>
      </c>
    </row>
    <row r="90" spans="1:13" s="24" customFormat="1" ht="3" customHeight="1">
      <c r="B90" s="25"/>
      <c r="C90" s="26"/>
      <c r="D90" s="47"/>
      <c r="E90" s="48"/>
      <c r="F90" s="48"/>
      <c r="G90" s="48"/>
      <c r="I90" s="91"/>
    </row>
    <row r="91" spans="1:13" s="24" customFormat="1" ht="12.75">
      <c r="A91" s="49" t="s">
        <v>13</v>
      </c>
      <c r="B91" s="25"/>
      <c r="C91" s="26"/>
      <c r="D91" s="47"/>
      <c r="E91" s="218">
        <v>0.04</v>
      </c>
      <c r="F91" s="48"/>
      <c r="G91" s="48"/>
      <c r="I91" s="91">
        <f>ROUND(I89*E91,2)</f>
        <v>15287</v>
      </c>
    </row>
    <row r="92" spans="1:13" s="24" customFormat="1" ht="3" customHeight="1">
      <c r="A92" s="50"/>
      <c r="B92" s="51"/>
      <c r="C92" s="52"/>
      <c r="D92" s="56"/>
      <c r="E92" s="219"/>
      <c r="F92" s="57"/>
      <c r="G92" s="57"/>
      <c r="H92" s="50"/>
      <c r="I92" s="93"/>
    </row>
    <row r="93" spans="1:13" s="24" customFormat="1" ht="3" customHeight="1">
      <c r="B93" s="25"/>
      <c r="C93" s="26"/>
      <c r="D93" s="58"/>
      <c r="E93" s="220"/>
      <c r="F93" s="65"/>
      <c r="G93" s="65"/>
      <c r="H93" s="59"/>
      <c r="I93" s="91"/>
    </row>
    <row r="94" spans="1:13" s="24" customFormat="1" ht="12.75">
      <c r="A94" s="53" t="s">
        <v>232</v>
      </c>
      <c r="B94" s="54"/>
      <c r="C94" s="55"/>
      <c r="D94" s="27"/>
      <c r="E94" s="217"/>
      <c r="F94" s="48"/>
      <c r="G94" s="48"/>
      <c r="I94" s="92">
        <f>I89+I91</f>
        <v>397473</v>
      </c>
    </row>
    <row r="95" spans="1:13" s="24" customFormat="1" ht="12.75">
      <c r="A95" s="24" t="s">
        <v>14</v>
      </c>
      <c r="B95" s="25"/>
      <c r="C95" s="26"/>
      <c r="D95" s="27"/>
      <c r="E95" s="28">
        <v>0.2</v>
      </c>
      <c r="F95" s="28"/>
      <c r="G95" s="28"/>
      <c r="I95" s="91">
        <f>ROUND(I94*E95,2)</f>
        <v>79495</v>
      </c>
    </row>
    <row r="96" spans="1:13" s="24" customFormat="1" ht="3" customHeight="1">
      <c r="B96" s="25"/>
      <c r="C96" s="26"/>
      <c r="D96" s="27"/>
      <c r="E96" s="48"/>
      <c r="F96" s="48"/>
      <c r="G96" s="48"/>
      <c r="I96" s="91"/>
    </row>
    <row r="97" spans="1:13" s="24" customFormat="1" ht="12.75">
      <c r="A97" s="184" t="s">
        <v>233</v>
      </c>
      <c r="B97" s="196"/>
      <c r="C97" s="185"/>
      <c r="D97" s="187"/>
      <c r="E97" s="188"/>
      <c r="F97" s="188"/>
      <c r="G97" s="188"/>
      <c r="H97" s="186"/>
      <c r="I97" s="189">
        <f>SUM(I93:I95)</f>
        <v>476968</v>
      </c>
    </row>
    <row r="98" spans="1:13" s="9" customFormat="1" ht="3" customHeight="1">
      <c r="A98" s="1"/>
      <c r="B98" s="7"/>
      <c r="C98" s="1"/>
      <c r="D98" s="1"/>
      <c r="E98" s="1"/>
      <c r="F98" s="1"/>
      <c r="G98" s="1"/>
      <c r="H98" s="8"/>
      <c r="K98" s="1"/>
      <c r="L98" s="1"/>
      <c r="M98" s="1"/>
    </row>
    <row r="99" spans="1:13" ht="12.75">
      <c r="A99" s="198" t="s">
        <v>106</v>
      </c>
      <c r="E99" s="255">
        <f>I94/E32</f>
        <v>1.397E-2</v>
      </c>
    </row>
  </sheetData>
  <sheetProtection algorithmName="SHA-512" hashValue="+Lf8TI9r3t0SPuKMJ9FSg0CpHKsC5AjELP/axGRoSuiTPVnJRv31hPi+tHegFgCWMbXicORorXD2pTXsr/8PHA==" saltValue="V+XKyZaxmbKpU7QWhfzw5w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7" priority="2" stopIfTrue="1">
      <formula>$E$55&gt;1999999.99</formula>
    </cfRule>
  </conditionalFormatting>
  <conditionalFormatting sqref="E61">
    <cfRule type="expression" dxfId="6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&amp;L&amp;"Arial,Fett"&amp;K01+021Angebot TA | Anlagengruppen aufgegliedert
&amp;"Arial,Standard"nach LM.VM.2023&amp;R&amp;"Arial,Standard"&amp;K01+022Version 1
Stand: 15.09.2023</oddHeader>
    <oddFooter>&amp;L&amp;"Arial,Fett"&amp;K01+030LM.VM.2023&amp;"Arial,Standard"  | &amp;A |  Angebotsformular&amp;R&amp;"Arial,Standard"&amp;K01+030&amp;P/&amp;N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Scroll Bar 6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7296B-B7C2-4A03-A1C2-1911BAD8BDE1}">
  <sheetPr>
    <tabColor theme="6"/>
  </sheetPr>
  <dimension ref="A1:M99"/>
  <sheetViews>
    <sheetView showGridLines="0" zoomScaleNormal="100" zoomScaleSheetLayoutView="85" zoomScalePageLayoutView="70" workbookViewId="0">
      <selection activeCell="A77" sqref="A77:A84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23.25" customHeight="1">
      <c r="A2" s="107" t="s">
        <v>107</v>
      </c>
      <c r="E2" s="38"/>
      <c r="F2" s="38"/>
      <c r="G2" s="38"/>
      <c r="H2" s="648" t="s">
        <v>229</v>
      </c>
      <c r="I2" s="648"/>
      <c r="J2" s="43"/>
    </row>
    <row r="3" spans="1:10" s="10" customFormat="1" ht="2.1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1" customFormat="1" ht="12.95" customHeight="1">
      <c r="A6" s="645">
        <v>1</v>
      </c>
      <c r="B6" s="645"/>
      <c r="C6" s="76" t="s">
        <v>0</v>
      </c>
      <c r="D6" s="135">
        <f>E6/$E$32</f>
        <v>1E-3</v>
      </c>
      <c r="E6" s="479">
        <f>_1</f>
        <v>15000</v>
      </c>
      <c r="F6" s="245"/>
      <c r="G6" s="245"/>
      <c r="H6" s="526">
        <v>0</v>
      </c>
      <c r="I6" s="479">
        <f>E6*H6</f>
        <v>0</v>
      </c>
      <c r="J6" s="34"/>
    </row>
    <row r="7" spans="1:10" ht="3.95" customHeight="1">
      <c r="B7" s="4"/>
      <c r="D7" s="136"/>
      <c r="E7" s="44"/>
      <c r="F7" s="33"/>
      <c r="G7" s="33"/>
      <c r="H7" s="527"/>
      <c r="I7" s="44"/>
      <c r="J7" s="44"/>
    </row>
    <row r="8" spans="1:10" s="11" customFormat="1" ht="12.95" customHeight="1">
      <c r="A8" s="645">
        <v>2</v>
      </c>
      <c r="B8" s="645"/>
      <c r="C8" s="76" t="s">
        <v>1</v>
      </c>
      <c r="D8" s="135">
        <f>E8/$E$32</f>
        <v>0.316</v>
      </c>
      <c r="E8" s="479">
        <f>_2</f>
        <v>9000000</v>
      </c>
      <c r="F8" s="245"/>
      <c r="G8" s="245"/>
      <c r="H8" s="528">
        <v>0</v>
      </c>
      <c r="I8" s="479">
        <f>E8*H8</f>
        <v>0</v>
      </c>
      <c r="J8" s="34"/>
    </row>
    <row r="9" spans="1:10" ht="3.95" customHeight="1">
      <c r="D9" s="136"/>
      <c r="E9" s="34"/>
      <c r="F9" s="33"/>
      <c r="G9" s="33"/>
      <c r="H9" s="527"/>
      <c r="I9" s="34"/>
      <c r="J9" s="34"/>
    </row>
    <row r="10" spans="1:10" s="10" customFormat="1" ht="12.95" customHeight="1">
      <c r="A10" s="645">
        <v>3</v>
      </c>
      <c r="B10" s="645"/>
      <c r="C10" s="76" t="s">
        <v>7</v>
      </c>
      <c r="D10" s="135">
        <f>E10/$E$32</f>
        <v>0.19900000000000001</v>
      </c>
      <c r="E10" s="502">
        <f>_3</f>
        <v>5650000</v>
      </c>
      <c r="F10" s="245"/>
      <c r="G10" s="245"/>
      <c r="H10" s="527"/>
      <c r="I10" s="34"/>
      <c r="J10" s="34"/>
    </row>
    <row r="11" spans="1:10" ht="12.95" customHeight="1">
      <c r="A11" s="315">
        <v>3</v>
      </c>
      <c r="B11" s="79" t="s">
        <v>17</v>
      </c>
      <c r="C11" s="80" t="s">
        <v>18</v>
      </c>
      <c r="D11" s="137"/>
      <c r="E11" s="516">
        <f>_3.01</f>
        <v>900000</v>
      </c>
      <c r="F11" s="245"/>
      <c r="G11" s="245"/>
      <c r="H11" s="528">
        <v>0</v>
      </c>
      <c r="I11" s="503">
        <f t="shared" ref="I11:I18" si="0">E11*H11</f>
        <v>0</v>
      </c>
      <c r="J11" s="34"/>
    </row>
    <row r="12" spans="1:10" ht="12.95" customHeight="1">
      <c r="A12" s="316">
        <v>3</v>
      </c>
      <c r="B12" s="83" t="s">
        <v>19</v>
      </c>
      <c r="C12" s="84" t="s">
        <v>26</v>
      </c>
      <c r="D12" s="138"/>
      <c r="E12" s="504">
        <f>_3.02</f>
        <v>1200000</v>
      </c>
      <c r="F12" s="245"/>
      <c r="G12" s="245"/>
      <c r="H12" s="528">
        <v>0</v>
      </c>
      <c r="I12" s="540">
        <f t="shared" si="0"/>
        <v>0</v>
      </c>
      <c r="J12" s="34"/>
    </row>
    <row r="13" spans="1:10" ht="12.95" customHeight="1">
      <c r="A13" s="316">
        <v>3</v>
      </c>
      <c r="B13" s="83" t="s">
        <v>20</v>
      </c>
      <c r="C13" s="84" t="s">
        <v>27</v>
      </c>
      <c r="D13" s="138"/>
      <c r="E13" s="517">
        <f>_3.03</f>
        <v>1000000</v>
      </c>
      <c r="F13" s="245"/>
      <c r="G13" s="245"/>
      <c r="H13" s="528">
        <v>0</v>
      </c>
      <c r="I13" s="540">
        <f t="shared" si="0"/>
        <v>0</v>
      </c>
      <c r="J13" s="34"/>
    </row>
    <row r="14" spans="1:10" ht="12.95" customHeight="1">
      <c r="A14" s="316">
        <v>3</v>
      </c>
      <c r="B14" s="83" t="s">
        <v>21</v>
      </c>
      <c r="C14" s="84" t="s">
        <v>28</v>
      </c>
      <c r="D14" s="138"/>
      <c r="E14" s="517">
        <f>_3.04</f>
        <v>1500000</v>
      </c>
      <c r="F14" s="245"/>
      <c r="G14" s="245"/>
      <c r="H14" s="528">
        <v>1</v>
      </c>
      <c r="I14" s="540">
        <f t="shared" si="0"/>
        <v>1500000</v>
      </c>
      <c r="J14" s="34"/>
    </row>
    <row r="15" spans="1:10" ht="12.95" customHeight="1">
      <c r="A15" s="316">
        <v>3</v>
      </c>
      <c r="B15" s="83" t="s">
        <v>22</v>
      </c>
      <c r="C15" s="84" t="s">
        <v>31</v>
      </c>
      <c r="D15" s="138"/>
      <c r="E15" s="517">
        <f>_3.05</f>
        <v>600000</v>
      </c>
      <c r="F15" s="245"/>
      <c r="G15" s="245"/>
      <c r="H15" s="528">
        <v>1</v>
      </c>
      <c r="I15" s="540">
        <f t="shared" si="0"/>
        <v>600000</v>
      </c>
      <c r="J15" s="34"/>
    </row>
    <row r="16" spans="1:10" ht="12.95" customHeight="1">
      <c r="A16" s="316">
        <v>3</v>
      </c>
      <c r="B16" s="83" t="s">
        <v>23</v>
      </c>
      <c r="C16" s="84" t="s">
        <v>29</v>
      </c>
      <c r="D16" s="138"/>
      <c r="E16" s="517">
        <f>_3.06</f>
        <v>150000</v>
      </c>
      <c r="F16" s="245"/>
      <c r="G16" s="245"/>
      <c r="H16" s="528">
        <v>0</v>
      </c>
      <c r="I16" s="540">
        <f t="shared" si="0"/>
        <v>0</v>
      </c>
      <c r="J16" s="34"/>
    </row>
    <row r="17" spans="1:10" ht="12.95" customHeight="1">
      <c r="A17" s="316">
        <v>3</v>
      </c>
      <c r="B17" s="83" t="s">
        <v>24</v>
      </c>
      <c r="C17" s="84" t="s">
        <v>30</v>
      </c>
      <c r="D17" s="138"/>
      <c r="E17" s="517">
        <f>_3.07</f>
        <v>0</v>
      </c>
      <c r="F17" s="245"/>
      <c r="G17" s="245"/>
      <c r="H17" s="528">
        <v>0</v>
      </c>
      <c r="I17" s="540">
        <f t="shared" si="0"/>
        <v>0</v>
      </c>
      <c r="J17" s="34"/>
    </row>
    <row r="18" spans="1:10" ht="12.95" customHeight="1">
      <c r="A18" s="316">
        <v>3</v>
      </c>
      <c r="B18" s="83" t="s">
        <v>25</v>
      </c>
      <c r="C18" s="84" t="s">
        <v>8</v>
      </c>
      <c r="D18" s="138"/>
      <c r="E18" s="517">
        <f>_3.08</f>
        <v>300000</v>
      </c>
      <c r="F18" s="245"/>
      <c r="G18" s="245"/>
      <c r="H18" s="528">
        <v>0</v>
      </c>
      <c r="I18" s="541">
        <f t="shared" si="0"/>
        <v>0</v>
      </c>
      <c r="J18" s="34"/>
    </row>
    <row r="19" spans="1:10" ht="3.95" customHeight="1">
      <c r="D19" s="136"/>
      <c r="E19" s="34"/>
      <c r="F19" s="33"/>
      <c r="G19" s="33"/>
      <c r="H19" s="529"/>
      <c r="I19" s="34"/>
      <c r="J19" s="151"/>
    </row>
    <row r="20" spans="1:10" s="10" customFormat="1" ht="12.75" customHeight="1">
      <c r="A20" s="645">
        <v>4</v>
      </c>
      <c r="B20" s="645"/>
      <c r="C20" s="76" t="s">
        <v>2</v>
      </c>
      <c r="D20" s="135">
        <f>E20/$E$32</f>
        <v>0.21099999999999999</v>
      </c>
      <c r="E20" s="479">
        <f>_4</f>
        <v>6000000</v>
      </c>
      <c r="F20" s="245"/>
      <c r="G20" s="245"/>
      <c r="H20" s="528">
        <v>0</v>
      </c>
      <c r="I20" s="479">
        <f>E20*H20</f>
        <v>0</v>
      </c>
      <c r="J20" s="34"/>
    </row>
    <row r="21" spans="1:10" ht="3.95" customHeight="1">
      <c r="B21" s="4"/>
      <c r="D21" s="136"/>
      <c r="E21" s="34"/>
      <c r="F21" s="33"/>
      <c r="G21" s="33"/>
      <c r="H21" s="527"/>
      <c r="I21" s="34"/>
      <c r="J21" s="33"/>
    </row>
    <row r="22" spans="1:10" s="11" customFormat="1" ht="12.95" customHeight="1">
      <c r="A22" s="645">
        <v>5</v>
      </c>
      <c r="B22" s="645"/>
      <c r="C22" s="76" t="s">
        <v>9</v>
      </c>
      <c r="D22" s="135">
        <f>E22/$E$32</f>
        <v>5.8000000000000003E-2</v>
      </c>
      <c r="E22" s="503">
        <f>_5</f>
        <v>1650000</v>
      </c>
      <c r="F22" s="245"/>
      <c r="G22" s="245"/>
      <c r="H22" s="528">
        <v>0</v>
      </c>
      <c r="I22" s="479">
        <f>E22*H22</f>
        <v>0</v>
      </c>
      <c r="J22" s="34"/>
    </row>
    <row r="23" spans="1:10" ht="3.95" customHeight="1">
      <c r="D23" s="136"/>
      <c r="E23" s="34"/>
      <c r="F23" s="33"/>
      <c r="G23" s="33"/>
      <c r="H23" s="527"/>
      <c r="I23" s="34"/>
      <c r="J23" s="34"/>
    </row>
    <row r="24" spans="1:10" s="10" customFormat="1" ht="12.95" customHeight="1">
      <c r="A24" s="645">
        <v>6</v>
      </c>
      <c r="B24" s="645"/>
      <c r="C24" s="76" t="s">
        <v>3</v>
      </c>
      <c r="D24" s="135">
        <f>E24/$E$32</f>
        <v>1.7999999999999999E-2</v>
      </c>
      <c r="E24" s="479">
        <f>_6</f>
        <v>500000</v>
      </c>
      <c r="F24" s="245"/>
      <c r="G24" s="245"/>
      <c r="H24" s="528">
        <v>0</v>
      </c>
      <c r="I24" s="479">
        <f>E24*H24</f>
        <v>0</v>
      </c>
      <c r="J24" s="34"/>
    </row>
    <row r="25" spans="1:10" ht="3.95" customHeight="1">
      <c r="B25" s="13"/>
      <c r="D25" s="139"/>
      <c r="E25" s="34"/>
      <c r="F25" s="33"/>
      <c r="G25" s="33"/>
      <c r="H25" s="527"/>
      <c r="I25" s="34"/>
      <c r="J25" s="34"/>
    </row>
    <row r="26" spans="1:10" s="11" customFormat="1" ht="12.95" customHeight="1">
      <c r="A26" s="645">
        <v>7</v>
      </c>
      <c r="B26" s="645"/>
      <c r="C26" s="76" t="s">
        <v>113</v>
      </c>
      <c r="D26" s="135">
        <f>E26/$E$32</f>
        <v>0.14099999999999999</v>
      </c>
      <c r="E26" s="479">
        <f>_7</f>
        <v>4000000</v>
      </c>
      <c r="F26" s="245"/>
      <c r="G26" s="245"/>
      <c r="H26" s="528">
        <v>0</v>
      </c>
      <c r="I26" s="479">
        <f>E26*H26</f>
        <v>0</v>
      </c>
      <c r="J26" s="34"/>
    </row>
    <row r="27" spans="1:10" ht="3.95" customHeight="1">
      <c r="D27" s="139"/>
      <c r="E27" s="34"/>
      <c r="F27" s="33"/>
      <c r="G27" s="33"/>
      <c r="H27" s="527"/>
      <c r="I27" s="34"/>
      <c r="J27" s="34"/>
    </row>
    <row r="28" spans="1:10" s="11" customFormat="1" ht="12.95" customHeight="1">
      <c r="A28" s="645">
        <v>8</v>
      </c>
      <c r="B28" s="645"/>
      <c r="C28" s="76" t="s">
        <v>129</v>
      </c>
      <c r="D28" s="135">
        <f>E28/$E$32</f>
        <v>1E-3</v>
      </c>
      <c r="E28" s="479">
        <f>_8</f>
        <v>36000</v>
      </c>
      <c r="F28" s="245"/>
      <c r="G28" s="245"/>
      <c r="H28" s="528">
        <v>0</v>
      </c>
      <c r="I28" s="479">
        <f>E28*H28</f>
        <v>0</v>
      </c>
      <c r="J28" s="34"/>
    </row>
    <row r="29" spans="1:10" ht="3.95" customHeight="1">
      <c r="D29" s="139"/>
      <c r="E29" s="34"/>
      <c r="F29" s="33"/>
      <c r="G29" s="33"/>
      <c r="H29" s="529"/>
      <c r="I29" s="34"/>
      <c r="J29" s="151"/>
    </row>
    <row r="30" spans="1:10" s="11" customFormat="1" ht="12.95" customHeight="1">
      <c r="A30" s="645">
        <v>9</v>
      </c>
      <c r="B30" s="645"/>
      <c r="C30" s="76" t="s">
        <v>10</v>
      </c>
      <c r="D30" s="135">
        <f>E30/$E$32</f>
        <v>5.6000000000000001E-2</v>
      </c>
      <c r="E30" s="479">
        <f>_9</f>
        <v>1600000</v>
      </c>
      <c r="F30" s="245"/>
      <c r="G30" s="245"/>
      <c r="H30" s="528">
        <v>0.1</v>
      </c>
      <c r="I30" s="479">
        <f>E30*H30</f>
        <v>160000</v>
      </c>
      <c r="J30" s="34"/>
    </row>
    <row r="31" spans="1:10" ht="9.9499999999999993" customHeight="1">
      <c r="B31" s="13"/>
      <c r="D31" s="32"/>
      <c r="E31" s="34"/>
      <c r="F31" s="33"/>
      <c r="G31" s="33"/>
      <c r="H31" s="542"/>
      <c r="I31" s="34"/>
      <c r="J31" s="1"/>
    </row>
    <row r="32" spans="1:10" ht="12.95" customHeight="1">
      <c r="A32" s="113" t="s">
        <v>12</v>
      </c>
      <c r="B32" s="114"/>
      <c r="C32" s="114"/>
      <c r="D32" s="71">
        <f>SUM(D6:D30)</f>
        <v>1</v>
      </c>
      <c r="E32" s="486">
        <f>_EK</f>
        <v>28451000</v>
      </c>
      <c r="F32" s="542"/>
      <c r="G32" s="542"/>
      <c r="H32" s="542"/>
      <c r="I32" s="542"/>
      <c r="J32" s="23"/>
    </row>
    <row r="33" spans="1:10" ht="3.95" customHeight="1">
      <c r="B33" s="248"/>
      <c r="D33" s="32"/>
      <c r="E33" s="23"/>
      <c r="H33" s="543"/>
      <c r="J33" s="1"/>
    </row>
    <row r="34" spans="1:10" s="10" customFormat="1" ht="12.95" customHeight="1">
      <c r="A34" s="306"/>
      <c r="B34" s="75" t="s">
        <v>159</v>
      </c>
      <c r="C34" s="76"/>
      <c r="D34" s="135"/>
      <c r="E34" s="479">
        <f>_mvB</f>
        <v>120000</v>
      </c>
      <c r="F34" s="245"/>
      <c r="G34" s="245"/>
      <c r="H34" s="528">
        <v>1</v>
      </c>
      <c r="I34" s="479">
        <f>E34*H34</f>
        <v>120000</v>
      </c>
    </row>
    <row r="35" spans="1:10" ht="6" customHeight="1">
      <c r="D35" s="32"/>
    </row>
    <row r="36" spans="1:10" s="14" customFormat="1" ht="12.95" customHeight="1">
      <c r="A36" s="191" t="s">
        <v>32</v>
      </c>
      <c r="B36" s="192"/>
      <c r="C36" s="192"/>
      <c r="D36" s="203"/>
      <c r="E36" s="203"/>
      <c r="F36" s="203"/>
      <c r="G36" s="203"/>
      <c r="H36" s="204"/>
      <c r="I36" s="353">
        <f>ROUND(SUM(I6:I34),2)</f>
        <v>2380000</v>
      </c>
      <c r="J36" s="602"/>
    </row>
    <row r="37" spans="1:10" ht="12.95" customHeight="1">
      <c r="A37" s="156"/>
      <c r="B37" s="156"/>
      <c r="C37" s="156"/>
      <c r="D37" s="156"/>
      <c r="E37" s="156"/>
      <c r="F37" s="156"/>
      <c r="G37" s="156"/>
      <c r="I37" s="177"/>
    </row>
    <row r="38" spans="1:10" ht="12.75" customHeight="1">
      <c r="A38" s="154" t="s">
        <v>158</v>
      </c>
      <c r="B38" s="154"/>
      <c r="C38" s="155"/>
      <c r="D38" s="155"/>
      <c r="E38" s="155"/>
      <c r="F38" s="155"/>
      <c r="G38" s="155"/>
      <c r="H38" s="154"/>
      <c r="I38" s="250"/>
      <c r="J38" s="157"/>
    </row>
    <row r="39" spans="1:10" ht="2.1" customHeight="1">
      <c r="A39" s="156"/>
      <c r="B39" s="156"/>
      <c r="C39" s="156"/>
      <c r="D39" s="156"/>
      <c r="E39" s="156"/>
      <c r="F39" s="156"/>
      <c r="G39" s="156"/>
      <c r="I39" s="177"/>
    </row>
    <row r="40" spans="1:10" ht="12.75" customHeight="1">
      <c r="A40" s="157" t="s">
        <v>78</v>
      </c>
      <c r="B40" s="156"/>
      <c r="C40" s="156"/>
      <c r="D40" s="156"/>
      <c r="E40" s="156"/>
      <c r="F40" s="156"/>
      <c r="G40" s="156"/>
      <c r="I40" s="177"/>
    </row>
    <row r="41" spans="1:10" ht="12.75" customHeight="1">
      <c r="A41" s="19"/>
      <c r="B41" s="19"/>
      <c r="E41" s="158" t="s">
        <v>5</v>
      </c>
      <c r="F41" s="159" t="s">
        <v>4</v>
      </c>
      <c r="G41" s="159"/>
      <c r="H41" s="646" t="s">
        <v>169</v>
      </c>
      <c r="I41" s="646"/>
      <c r="J41" s="241"/>
    </row>
    <row r="42" spans="1:10" ht="12.75" customHeight="1">
      <c r="B42" s="20" t="s">
        <v>46</v>
      </c>
      <c r="C42" s="35"/>
      <c r="D42" s="35"/>
      <c r="E42" s="117">
        <v>22</v>
      </c>
      <c r="F42" s="160" t="s">
        <v>58</v>
      </c>
      <c r="G42" s="159"/>
      <c r="H42" s="305"/>
      <c r="I42" s="304"/>
      <c r="J42" s="241"/>
    </row>
    <row r="43" spans="1:10" ht="12.75" customHeight="1">
      <c r="B43" s="21" t="s">
        <v>47</v>
      </c>
      <c r="C43" s="36"/>
      <c r="D43" s="36"/>
      <c r="E43" s="118">
        <v>2</v>
      </c>
      <c r="F43" s="161" t="s">
        <v>6</v>
      </c>
      <c r="G43" s="159"/>
      <c r="H43" s="299"/>
      <c r="I43" s="303"/>
      <c r="J43" s="241"/>
    </row>
    <row r="44" spans="1:10" ht="12.75" customHeight="1">
      <c r="B44" s="21" t="s">
        <v>48</v>
      </c>
      <c r="C44" s="36"/>
      <c r="D44" s="36"/>
      <c r="E44" s="118">
        <v>1</v>
      </c>
      <c r="F44" s="161" t="s">
        <v>6</v>
      </c>
      <c r="G44" s="159"/>
      <c r="H44" s="299"/>
      <c r="I44" s="303"/>
      <c r="J44" s="241"/>
    </row>
    <row r="45" spans="1:10" ht="12.75" customHeight="1">
      <c r="B45" s="21" t="s">
        <v>49</v>
      </c>
      <c r="C45" s="36"/>
      <c r="D45" s="36"/>
      <c r="E45" s="118">
        <v>2</v>
      </c>
      <c r="F45" s="161" t="s">
        <v>6</v>
      </c>
      <c r="G45" s="159"/>
      <c r="H45" s="299"/>
      <c r="I45" s="303"/>
      <c r="J45" s="241"/>
    </row>
    <row r="46" spans="1:10" ht="4.5" customHeight="1">
      <c r="A46" s="19"/>
      <c r="B46" s="19"/>
      <c r="E46" s="162"/>
      <c r="F46" s="162"/>
      <c r="G46" s="162"/>
      <c r="H46" s="305"/>
      <c r="I46" s="304"/>
      <c r="J46" s="241"/>
    </row>
    <row r="47" spans="1:10" ht="12.75" customHeight="1">
      <c r="B47" s="553"/>
      <c r="C47" s="36" t="s">
        <v>204</v>
      </c>
      <c r="D47" s="36"/>
      <c r="E47" s="118">
        <v>0</v>
      </c>
      <c r="F47" s="161" t="s">
        <v>240</v>
      </c>
      <c r="G47" s="159"/>
      <c r="H47" s="302"/>
      <c r="I47" s="301"/>
      <c r="J47" s="241"/>
    </row>
    <row r="48" spans="1:10" ht="12.75" customHeight="1">
      <c r="B48" s="553"/>
      <c r="C48" s="36" t="s">
        <v>166</v>
      </c>
      <c r="D48" s="36"/>
      <c r="E48" s="118">
        <v>0</v>
      </c>
      <c r="F48" s="161" t="s">
        <v>240</v>
      </c>
      <c r="G48" s="159"/>
      <c r="H48" s="299"/>
      <c r="I48" s="298"/>
      <c r="J48" s="241"/>
    </row>
    <row r="49" spans="1:10" ht="12.75" customHeight="1">
      <c r="B49" s="553"/>
      <c r="C49" s="36" t="s">
        <v>165</v>
      </c>
      <c r="D49" s="36"/>
      <c r="E49" s="118">
        <v>0</v>
      </c>
      <c r="F49" s="161" t="s">
        <v>240</v>
      </c>
      <c r="G49" s="159"/>
      <c r="H49" s="299"/>
      <c r="I49" s="298"/>
      <c r="J49" s="241"/>
    </row>
    <row r="50" spans="1:10" ht="3.95" customHeight="1">
      <c r="B50" s="19"/>
      <c r="C50" s="532"/>
      <c r="D50" s="532"/>
      <c r="E50" s="606"/>
      <c r="F50" s="533"/>
      <c r="G50" s="241"/>
      <c r="I50" s="238"/>
      <c r="J50" s="241"/>
    </row>
    <row r="51" spans="1:10" ht="12.75" customHeight="1">
      <c r="B51" s="19" t="s">
        <v>45</v>
      </c>
      <c r="C51" s="163"/>
      <c r="D51" s="164"/>
      <c r="E51" s="182">
        <f>SUM(E42:E49)</f>
        <v>27</v>
      </c>
      <c r="F51" s="164"/>
      <c r="G51" s="164"/>
      <c r="I51" s="238"/>
      <c r="J51" s="1"/>
    </row>
    <row r="52" spans="1:10" ht="3.95" customHeight="1">
      <c r="B52" s="19"/>
      <c r="C52" s="164"/>
      <c r="D52" s="164"/>
      <c r="E52" s="164"/>
      <c r="F52" s="164"/>
      <c r="G52" s="164"/>
      <c r="I52" s="238"/>
      <c r="J52" s="1"/>
    </row>
    <row r="53" spans="1:10" ht="12.95" customHeight="1">
      <c r="A53" s="157" t="s">
        <v>15</v>
      </c>
      <c r="B53" s="157"/>
      <c r="C53" s="156"/>
      <c r="D53" s="156"/>
      <c r="E53" s="156"/>
      <c r="F53" s="156"/>
      <c r="G53" s="156"/>
      <c r="H53" s="251"/>
      <c r="I53" s="1"/>
    </row>
    <row r="54" spans="1:10" ht="4.5" customHeight="1">
      <c r="A54" s="157"/>
      <c r="B54" s="157"/>
      <c r="C54" s="157"/>
      <c r="I54" s="1"/>
    </row>
    <row r="55" spans="1:10" ht="12.75" customHeight="1">
      <c r="A55" s="166" t="s">
        <v>11</v>
      </c>
      <c r="B55" s="166"/>
      <c r="E55" s="195">
        <f>I36</f>
        <v>2380000</v>
      </c>
      <c r="I55" s="1"/>
    </row>
    <row r="56" spans="1:10" ht="3.95" customHeight="1">
      <c r="A56" s="19"/>
      <c r="B56" s="19"/>
      <c r="C56" s="19"/>
      <c r="D56" s="19"/>
      <c r="E56" s="163"/>
      <c r="I56"/>
    </row>
    <row r="57" spans="1:10" ht="12.75" customHeight="1">
      <c r="A57" s="19" t="s">
        <v>74</v>
      </c>
      <c r="B57" s="19"/>
      <c r="E57" s="100">
        <f>0.03*E51+0.73</f>
        <v>1.54</v>
      </c>
      <c r="F57" s="661" t="str">
        <f>IF(I36&lt;50000,"! gemäß TA.9 (3): Ist die Bemessungsgrundlage niedriger als 50.000 €, sollte der Ermittlungsweg über Abschätzung des Büro- / Personalaufwandes gewählt werden","")</f>
        <v/>
      </c>
      <c r="G57" s="661"/>
      <c r="H57" s="661"/>
      <c r="I57" s="661"/>
    </row>
    <row r="58" spans="1:10" ht="3.95" customHeight="1">
      <c r="A58" s="19"/>
      <c r="B58" s="19"/>
      <c r="E58" s="29"/>
      <c r="F58" s="661"/>
      <c r="G58" s="661"/>
      <c r="H58" s="661"/>
      <c r="I58" s="661"/>
    </row>
    <row r="59" spans="1:10" ht="12.75" customHeight="1">
      <c r="A59" s="19" t="s">
        <v>76</v>
      </c>
      <c r="B59" s="19"/>
      <c r="E59" s="544">
        <f>ROUND(IF(E55&lt;2000000,202*E55^(-0.2248)*E57/100,(37.8*E55^(-0.109)*E57/100)),6)</f>
        <v>0.11748</v>
      </c>
      <c r="F59" s="661"/>
      <c r="G59" s="661"/>
      <c r="H59" s="661"/>
      <c r="I59" s="661"/>
    </row>
    <row r="60" spans="1:10" ht="18" customHeight="1">
      <c r="A60" s="24" t="s">
        <v>85</v>
      </c>
      <c r="B60" s="24"/>
      <c r="E60" s="513">
        <f>202*E55^(-0.2248)*E57/100</f>
        <v>0.114661</v>
      </c>
      <c r="F60" s="545" t="str">
        <f>IF(E55&lt;2000000,"(PL + ÖBA)","")</f>
        <v/>
      </c>
      <c r="G60" s="545"/>
      <c r="I60"/>
    </row>
    <row r="61" spans="1:10" ht="18" customHeight="1">
      <c r="A61" s="24" t="s">
        <v>86</v>
      </c>
      <c r="B61" s="24"/>
      <c r="C61" s="24"/>
      <c r="E61" s="513">
        <f>37.8*E55^(-0.109)*E57/100</f>
        <v>0.11748</v>
      </c>
      <c r="F61" s="207" t="str">
        <f>IF(E55&gt;1999999.99,"(PL + ÖBA)","")</f>
        <v>(PL + ÖBA)</v>
      </c>
      <c r="G61" s="207"/>
      <c r="I61"/>
    </row>
    <row r="62" spans="1:10" ht="13.5" customHeight="1">
      <c r="A62" s="24" t="s">
        <v>140</v>
      </c>
      <c r="B62" s="24"/>
      <c r="C62" s="24"/>
      <c r="E62" s="257">
        <v>0</v>
      </c>
      <c r="F62" s="207"/>
      <c r="H62" s="1"/>
      <c r="I62"/>
    </row>
    <row r="63" spans="1:10" ht="2.1" customHeight="1">
      <c r="A63" s="19"/>
      <c r="B63" s="19"/>
      <c r="E63" s="167"/>
      <c r="F63" s="167"/>
      <c r="G63" s="167"/>
      <c r="H63" s="1"/>
      <c r="I63"/>
    </row>
    <row r="64" spans="1:10" ht="15" customHeight="1">
      <c r="A64" s="22" t="s">
        <v>230</v>
      </c>
      <c r="B64" s="20"/>
      <c r="C64" s="168"/>
      <c r="D64" s="168"/>
      <c r="E64" s="169"/>
      <c r="F64" s="470">
        <f>E55*E59*(1+E62)</f>
        <v>279602</v>
      </c>
      <c r="G64" s="207"/>
      <c r="I64" s="1"/>
    </row>
    <row r="65" spans="1:11" ht="12.95" customHeight="1">
      <c r="A65" s="24"/>
      <c r="B65" s="19"/>
      <c r="C65" s="156"/>
      <c r="D65" s="275" t="s">
        <v>147</v>
      </c>
      <c r="E65" s="270" t="s">
        <v>5</v>
      </c>
      <c r="F65" s="170"/>
      <c r="G65" s="560"/>
      <c r="H65" s="158"/>
      <c r="I65" s="30"/>
    </row>
    <row r="66" spans="1:11" ht="12.75" customHeight="1">
      <c r="A66" s="156" t="s">
        <v>53</v>
      </c>
      <c r="B66" s="156"/>
      <c r="D66" s="271">
        <v>0.02</v>
      </c>
      <c r="E66" s="222">
        <v>0.02</v>
      </c>
      <c r="F66" s="177">
        <f t="shared" ref="F66:F75" si="1">$F$64*E66</f>
        <v>5592</v>
      </c>
      <c r="G66" s="295"/>
      <c r="H66" s="561"/>
      <c r="I66" s="177"/>
    </row>
    <row r="67" spans="1:11" ht="12.75" customHeight="1">
      <c r="A67" s="156" t="s">
        <v>35</v>
      </c>
      <c r="B67" s="156"/>
      <c r="D67" s="271">
        <v>0.09</v>
      </c>
      <c r="E67" s="223">
        <v>0.09</v>
      </c>
      <c r="F67" s="177">
        <f t="shared" si="1"/>
        <v>25164</v>
      </c>
      <c r="G67" s="294"/>
      <c r="H67" s="562"/>
      <c r="I67" s="177"/>
    </row>
    <row r="68" spans="1:11" ht="12.75" customHeight="1">
      <c r="A68" s="156" t="s">
        <v>36</v>
      </c>
      <c r="B68" s="156"/>
      <c r="D68" s="271">
        <v>0.16</v>
      </c>
      <c r="E68" s="223">
        <v>0.16</v>
      </c>
      <c r="F68" s="177">
        <f t="shared" si="1"/>
        <v>44736</v>
      </c>
      <c r="G68" s="294"/>
      <c r="H68" s="562"/>
      <c r="I68" s="177"/>
    </row>
    <row r="69" spans="1:11" ht="12.75" customHeight="1">
      <c r="A69" s="156" t="s">
        <v>37</v>
      </c>
      <c r="B69" s="156"/>
      <c r="D69" s="271">
        <v>0.05</v>
      </c>
      <c r="E69" s="223">
        <v>0.05</v>
      </c>
      <c r="F69" s="177">
        <f t="shared" si="1"/>
        <v>13980</v>
      </c>
      <c r="G69" s="294"/>
      <c r="H69" s="562"/>
      <c r="I69" s="177"/>
      <c r="K69" s="1" t="s">
        <v>87</v>
      </c>
    </row>
    <row r="70" spans="1:11" ht="12.75" customHeight="1">
      <c r="A70" s="156" t="s">
        <v>38</v>
      </c>
      <c r="B70" s="156"/>
      <c r="D70" s="271">
        <v>0.2</v>
      </c>
      <c r="E70" s="223">
        <v>0.2</v>
      </c>
      <c r="F70" s="177">
        <f t="shared" si="1"/>
        <v>55920</v>
      </c>
      <c r="G70" s="294"/>
      <c r="H70" s="562"/>
      <c r="I70" s="177"/>
    </row>
    <row r="71" spans="1:11" ht="12.75" customHeight="1">
      <c r="A71" s="156" t="s">
        <v>39</v>
      </c>
      <c r="B71" s="156"/>
      <c r="D71" s="271">
        <v>0.05</v>
      </c>
      <c r="E71" s="223">
        <v>0.05</v>
      </c>
      <c r="F71" s="177">
        <f t="shared" si="1"/>
        <v>13980</v>
      </c>
      <c r="G71" s="295"/>
      <c r="H71" s="561"/>
      <c r="I71" s="177"/>
    </row>
    <row r="72" spans="1:11" ht="12.75" customHeight="1">
      <c r="A72" s="156" t="s">
        <v>61</v>
      </c>
      <c r="B72" s="156"/>
      <c r="D72" s="271">
        <v>0.02</v>
      </c>
      <c r="E72" s="223">
        <v>0.02</v>
      </c>
      <c r="F72" s="177">
        <f t="shared" si="1"/>
        <v>5592</v>
      </c>
      <c r="G72" s="294"/>
      <c r="H72" s="562"/>
      <c r="I72" s="177"/>
    </row>
    <row r="73" spans="1:11" ht="12.75" customHeight="1">
      <c r="A73" s="156" t="s">
        <v>54</v>
      </c>
      <c r="B73" s="156"/>
      <c r="D73" s="271">
        <v>0.04</v>
      </c>
      <c r="E73" s="223">
        <v>0.04</v>
      </c>
      <c r="F73" s="177">
        <f t="shared" si="1"/>
        <v>11184</v>
      </c>
      <c r="G73" s="294"/>
      <c r="H73" s="562"/>
      <c r="I73" s="177"/>
    </row>
    <row r="74" spans="1:11" ht="12.75" customHeight="1">
      <c r="A74" s="156" t="s">
        <v>75</v>
      </c>
      <c r="B74" s="156"/>
      <c r="D74" s="271">
        <v>0.35</v>
      </c>
      <c r="E74" s="223">
        <v>0.35</v>
      </c>
      <c r="F74" s="177">
        <f t="shared" si="1"/>
        <v>97861</v>
      </c>
      <c r="G74" s="294"/>
      <c r="H74" s="562"/>
      <c r="I74" s="177"/>
    </row>
    <row r="75" spans="1:11" ht="12.75" customHeight="1">
      <c r="A75" s="168" t="s">
        <v>55</v>
      </c>
      <c r="B75" s="168"/>
      <c r="C75" s="35"/>
      <c r="D75" s="272">
        <v>0.02</v>
      </c>
      <c r="E75" s="224">
        <v>0.02</v>
      </c>
      <c r="F75" s="178">
        <f t="shared" si="1"/>
        <v>5592</v>
      </c>
      <c r="G75" s="293"/>
      <c r="H75" s="563"/>
      <c r="I75" s="178"/>
    </row>
    <row r="76" spans="1:11" s="16" customFormat="1" ht="18.600000000000001" customHeight="1">
      <c r="A76" s="292" t="s">
        <v>44</v>
      </c>
      <c r="B76" s="417"/>
      <c r="D76" s="621">
        <f>SUM(D66:D75)</f>
        <v>1</v>
      </c>
      <c r="E76" s="289">
        <f>SUM(E66:E75)</f>
        <v>1</v>
      </c>
      <c r="F76" s="420">
        <f>SUM(F66:F75)</f>
        <v>279601</v>
      </c>
      <c r="G76" s="288"/>
      <c r="H76" s="289"/>
      <c r="I76" s="420"/>
      <c r="J76" s="515"/>
    </row>
    <row r="77" spans="1:11" ht="12.75" customHeight="1">
      <c r="A77" s="534" t="s">
        <v>218</v>
      </c>
      <c r="B77" s="171"/>
      <c r="D77" s="535">
        <v>0.02</v>
      </c>
      <c r="E77" s="222">
        <v>0</v>
      </c>
      <c r="F77" s="177">
        <f t="shared" ref="F77:F84" si="2">$F$64*E77</f>
        <v>0</v>
      </c>
      <c r="G77" s="172"/>
      <c r="H77" s="177"/>
      <c r="I77" s="91"/>
    </row>
    <row r="78" spans="1:11" ht="12.75" customHeight="1">
      <c r="A78" s="534" t="s">
        <v>187</v>
      </c>
      <c r="B78" s="171"/>
      <c r="D78" s="535">
        <v>1.4999999999999999E-2</v>
      </c>
      <c r="E78" s="223">
        <v>0</v>
      </c>
      <c r="F78" s="177">
        <f t="shared" si="2"/>
        <v>0</v>
      </c>
      <c r="G78" s="172"/>
      <c r="H78" s="177"/>
      <c r="I78" s="91"/>
    </row>
    <row r="79" spans="1:11" ht="12.75" customHeight="1">
      <c r="A79" s="534" t="s">
        <v>219</v>
      </c>
      <c r="B79" s="171"/>
      <c r="D79" s="535">
        <v>2.5000000000000001E-2</v>
      </c>
      <c r="E79" s="223">
        <v>0</v>
      </c>
      <c r="F79" s="177">
        <f t="shared" si="2"/>
        <v>0</v>
      </c>
      <c r="G79" s="172"/>
      <c r="H79" s="177"/>
      <c r="I79" s="91"/>
    </row>
    <row r="80" spans="1:11" ht="12.75" customHeight="1">
      <c r="A80" s="534" t="s">
        <v>220</v>
      </c>
      <c r="B80" s="171"/>
      <c r="D80" s="535" t="s">
        <v>221</v>
      </c>
      <c r="E80" s="473">
        <v>0</v>
      </c>
      <c r="F80" s="177">
        <f t="shared" si="2"/>
        <v>0</v>
      </c>
      <c r="G80" s="172"/>
      <c r="H80" s="177"/>
      <c r="I80" s="91"/>
    </row>
    <row r="81" spans="1:13" ht="12.75" customHeight="1">
      <c r="A81" s="534" t="s">
        <v>222</v>
      </c>
      <c r="B81" s="171"/>
      <c r="D81" s="535" t="s">
        <v>223</v>
      </c>
      <c r="E81" s="471">
        <v>0</v>
      </c>
      <c r="F81" s="177">
        <f t="shared" si="2"/>
        <v>0</v>
      </c>
      <c r="G81" s="172"/>
      <c r="H81" s="177"/>
      <c r="I81" s="91"/>
    </row>
    <row r="82" spans="1:13" ht="12.75" customHeight="1">
      <c r="A82" s="534" t="s">
        <v>224</v>
      </c>
      <c r="B82" s="171"/>
      <c r="D82" s="295">
        <v>0.01</v>
      </c>
      <c r="E82" s="471">
        <v>0</v>
      </c>
      <c r="F82" s="177">
        <f t="shared" si="2"/>
        <v>0</v>
      </c>
      <c r="G82" s="172"/>
      <c r="H82" s="177"/>
      <c r="I82" s="91"/>
    </row>
    <row r="83" spans="1:13" ht="13.5" customHeight="1">
      <c r="A83" s="632" t="s">
        <v>250</v>
      </c>
      <c r="B83" s="171"/>
      <c r="D83" s="295">
        <v>0.01</v>
      </c>
      <c r="E83" s="471">
        <v>0</v>
      </c>
      <c r="F83" s="177">
        <f t="shared" si="2"/>
        <v>0</v>
      </c>
      <c r="G83" s="172"/>
      <c r="H83" s="177"/>
      <c r="I83" s="91"/>
    </row>
    <row r="84" spans="1:13" ht="12.75" customHeight="1">
      <c r="A84" s="634" t="s">
        <v>257</v>
      </c>
      <c r="B84" s="174"/>
      <c r="C84" s="35"/>
      <c r="D84" s="493">
        <v>0.04</v>
      </c>
      <c r="E84" s="224">
        <v>0</v>
      </c>
      <c r="F84" s="178">
        <f t="shared" si="2"/>
        <v>0</v>
      </c>
      <c r="G84" s="600"/>
      <c r="H84" s="178"/>
      <c r="I84" s="603"/>
      <c r="J84" s="1"/>
    </row>
    <row r="85" spans="1:13" ht="12.75" customHeight="1">
      <c r="A85" s="644" t="s">
        <v>251</v>
      </c>
      <c r="B85" s="644"/>
      <c r="C85" s="644"/>
      <c r="D85" s="622">
        <v>1.17</v>
      </c>
      <c r="E85" s="172">
        <f>SUM(E76:E84)</f>
        <v>1</v>
      </c>
      <c r="F85" s="288">
        <f>F76+SUM(F77:F84)</f>
        <v>279601</v>
      </c>
      <c r="H85" s="172"/>
      <c r="I85" s="546">
        <f>F85</f>
        <v>279601</v>
      </c>
      <c r="J85" s="1"/>
      <c r="K85" s="9"/>
    </row>
    <row r="86" spans="1:13" ht="12.75" customHeight="1">
      <c r="A86" s="175"/>
      <c r="B86" s="19"/>
      <c r="D86" s="172"/>
      <c r="E86" s="172"/>
      <c r="F86" s="179"/>
      <c r="G86" s="8"/>
      <c r="I86" s="356"/>
      <c r="J86" s="1"/>
    </row>
    <row r="87" spans="1:13" ht="12.75" customHeight="1">
      <c r="A87" s="33" t="s">
        <v>123</v>
      </c>
      <c r="E87" s="357">
        <v>0</v>
      </c>
      <c r="F87" s="229">
        <v>0</v>
      </c>
      <c r="G87" s="8"/>
      <c r="I87" s="91">
        <f>E87*F87</f>
        <v>0</v>
      </c>
      <c r="K87"/>
      <c r="L87"/>
      <c r="M87"/>
    </row>
    <row r="88" spans="1:13" ht="3" customHeight="1">
      <c r="E88" s="108"/>
      <c r="I88"/>
    </row>
    <row r="89" spans="1:13" s="24" customFormat="1" ht="12.75">
      <c r="A89" s="94" t="s">
        <v>231</v>
      </c>
      <c r="B89" s="95"/>
      <c r="C89" s="96"/>
      <c r="D89" s="98"/>
      <c r="E89" s="109"/>
      <c r="F89" s="97"/>
      <c r="G89" s="97"/>
      <c r="H89" s="97"/>
      <c r="I89" s="99">
        <f>I85+I87</f>
        <v>279601</v>
      </c>
    </row>
    <row r="90" spans="1:13" s="24" customFormat="1" ht="3" customHeight="1">
      <c r="B90" s="25"/>
      <c r="C90" s="26"/>
      <c r="D90" s="47"/>
      <c r="E90" s="48"/>
      <c r="F90" s="48"/>
      <c r="G90" s="48"/>
      <c r="I90" s="91"/>
    </row>
    <row r="91" spans="1:13" s="24" customFormat="1" ht="12.75">
      <c r="A91" s="49" t="s">
        <v>13</v>
      </c>
      <c r="B91" s="25"/>
      <c r="C91" s="26"/>
      <c r="D91" s="47"/>
      <c r="E91" s="218">
        <v>0.04</v>
      </c>
      <c r="F91" s="48"/>
      <c r="G91" s="48"/>
      <c r="I91" s="91">
        <f>ROUND(I89*E91,2)</f>
        <v>11184</v>
      </c>
    </row>
    <row r="92" spans="1:13" s="24" customFormat="1" ht="3" customHeight="1">
      <c r="A92" s="50"/>
      <c r="B92" s="51"/>
      <c r="C92" s="52"/>
      <c r="D92" s="56"/>
      <c r="E92" s="219"/>
      <c r="F92" s="57"/>
      <c r="G92" s="57"/>
      <c r="H92" s="50"/>
      <c r="I92" s="93"/>
    </row>
    <row r="93" spans="1:13" s="24" customFormat="1" ht="3" customHeight="1">
      <c r="B93" s="25"/>
      <c r="C93" s="26"/>
      <c r="D93" s="58"/>
      <c r="E93" s="220"/>
      <c r="F93" s="65"/>
      <c r="G93" s="65"/>
      <c r="H93" s="59"/>
      <c r="I93" s="91"/>
    </row>
    <row r="94" spans="1:13" s="24" customFormat="1" ht="12.75">
      <c r="A94" s="53" t="s">
        <v>232</v>
      </c>
      <c r="B94" s="54"/>
      <c r="C94" s="55"/>
      <c r="D94" s="27"/>
      <c r="E94" s="217"/>
      <c r="F94" s="48"/>
      <c r="G94" s="48"/>
      <c r="I94" s="92">
        <f>I89+I91</f>
        <v>290785</v>
      </c>
    </row>
    <row r="95" spans="1:13" s="24" customFormat="1" ht="12.75">
      <c r="A95" s="24" t="s">
        <v>14</v>
      </c>
      <c r="B95" s="25"/>
      <c r="C95" s="26"/>
      <c r="D95" s="27"/>
      <c r="E95" s="28">
        <v>0.2</v>
      </c>
      <c r="F95" s="28"/>
      <c r="G95" s="28"/>
      <c r="I95" s="91">
        <f>ROUND(I94*E95,2)</f>
        <v>58157</v>
      </c>
    </row>
    <row r="96" spans="1:13" s="24" customFormat="1" ht="3" customHeight="1">
      <c r="B96" s="25"/>
      <c r="C96" s="26"/>
      <c r="D96" s="27"/>
      <c r="E96" s="48"/>
      <c r="F96" s="48"/>
      <c r="G96" s="48"/>
      <c r="I96" s="91"/>
    </row>
    <row r="97" spans="1:13" s="24" customFormat="1" ht="12.75">
      <c r="A97" s="184" t="s">
        <v>233</v>
      </c>
      <c r="B97" s="196"/>
      <c r="C97" s="185"/>
      <c r="D97" s="187"/>
      <c r="E97" s="188"/>
      <c r="F97" s="188"/>
      <c r="G97" s="188"/>
      <c r="H97" s="186"/>
      <c r="I97" s="189">
        <f>SUM(I93:I95)</f>
        <v>348942</v>
      </c>
    </row>
    <row r="98" spans="1:13" s="9" customFormat="1" ht="3" customHeight="1">
      <c r="A98" s="1"/>
      <c r="B98" s="7"/>
      <c r="C98" s="1"/>
      <c r="D98" s="1"/>
      <c r="E98" s="1"/>
      <c r="F98" s="1"/>
      <c r="G98" s="1"/>
      <c r="H98" s="8"/>
      <c r="K98" s="1"/>
      <c r="L98" s="1"/>
      <c r="M98" s="1"/>
    </row>
    <row r="99" spans="1:13" ht="12.75">
      <c r="A99" s="198" t="s">
        <v>106</v>
      </c>
      <c r="E99" s="255">
        <f>I94/E32</f>
        <v>1.0220999999999999E-2</v>
      </c>
    </row>
  </sheetData>
  <sheetProtection algorithmName="SHA-512" hashValue="989EelvCF84LxZU6Sua99noPj6d54sTbAAW5gRrlEpmGG8fj8dbEplITXEyhbfnSWViiuczUwblBgLGJPWpUrg==" saltValue="2MpxK4SK3Bzm9tfpjh6M1w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5" priority="2" stopIfTrue="1">
      <formula>$E$55&gt;1999999.99</formula>
    </cfRule>
  </conditionalFormatting>
  <conditionalFormatting sqref="E61">
    <cfRule type="expression" dxfId="4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&amp;L&amp;"Arial,Fett"&amp;K01+021Angebot TA | Anlagengruppen aufgegliedert
&amp;"Arial,Standard"nach LM.VM.2023&amp;R&amp;"Arial,Standard"&amp;K01+022Version 1
Stand: 15.09.2023</oddHeader>
    <oddFooter>&amp;L&amp;"Arial,Fett"&amp;K01+030LM.VM.2023&amp;"Arial,Standard"  | &amp;A |  Angebotsformular&amp;R&amp;"Arial,Standard"&amp;K01+030&amp;P/&amp;N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3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1019175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4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42</xdr:row>
                    <xdr:rowOff>28575</xdr:rowOff>
                  </from>
                  <to>
                    <xdr:col>8</xdr:col>
                    <xdr:colOff>1028700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5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1028700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6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1028700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7" r:id="rId8" name="Scroll Bar 5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8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4800-04B8-4B85-8A99-F870C9359F5E}">
  <sheetPr>
    <tabColor theme="6"/>
  </sheetPr>
  <dimension ref="A1:M99"/>
  <sheetViews>
    <sheetView showGridLines="0" zoomScaleNormal="100" zoomScaleSheetLayoutView="85" zoomScalePageLayoutView="70" workbookViewId="0">
      <selection activeCell="M14" sqref="M14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23.25" customHeight="1">
      <c r="A2" s="107" t="s">
        <v>107</v>
      </c>
      <c r="E2" s="38"/>
      <c r="F2" s="38"/>
      <c r="G2" s="38"/>
      <c r="H2" s="648" t="s">
        <v>229</v>
      </c>
      <c r="I2" s="648"/>
      <c r="J2" s="43"/>
    </row>
    <row r="3" spans="1:10" s="10" customFormat="1" ht="2.1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1" customFormat="1" ht="12.95" customHeight="1">
      <c r="A6" s="645">
        <v>1</v>
      </c>
      <c r="B6" s="645"/>
      <c r="C6" s="76" t="s">
        <v>0</v>
      </c>
      <c r="D6" s="135">
        <f>E6/$E$32</f>
        <v>1E-3</v>
      </c>
      <c r="E6" s="479">
        <f>_1</f>
        <v>15000</v>
      </c>
      <c r="F6" s="245"/>
      <c r="G6" s="245"/>
      <c r="H6" s="526">
        <v>0</v>
      </c>
      <c r="I6" s="479">
        <f>E6*H6</f>
        <v>0</v>
      </c>
      <c r="J6" s="34"/>
    </row>
    <row r="7" spans="1:10" ht="3.95" customHeight="1">
      <c r="B7" s="4"/>
      <c r="D7" s="136"/>
      <c r="E7" s="44"/>
      <c r="F7" s="33"/>
      <c r="G7" s="33"/>
      <c r="H7" s="527"/>
      <c r="I7" s="44"/>
      <c r="J7" s="44"/>
    </row>
    <row r="8" spans="1:10" s="11" customFormat="1" ht="12.95" customHeight="1">
      <c r="A8" s="645">
        <v>2</v>
      </c>
      <c r="B8" s="645"/>
      <c r="C8" s="76" t="s">
        <v>1</v>
      </c>
      <c r="D8" s="135">
        <f>E8/$E$32</f>
        <v>0.316</v>
      </c>
      <c r="E8" s="479">
        <f>_2</f>
        <v>9000000</v>
      </c>
      <c r="F8" s="245"/>
      <c r="G8" s="245"/>
      <c r="H8" s="528">
        <v>0</v>
      </c>
      <c r="I8" s="479">
        <f>E8*H8</f>
        <v>0</v>
      </c>
      <c r="J8" s="34"/>
    </row>
    <row r="9" spans="1:10" ht="3.95" customHeight="1">
      <c r="D9" s="136"/>
      <c r="E9" s="34"/>
      <c r="F9" s="33"/>
      <c r="G9" s="33"/>
      <c r="H9" s="527"/>
      <c r="I9" s="34"/>
      <c r="J9" s="34"/>
    </row>
    <row r="10" spans="1:10" s="10" customFormat="1" ht="12.95" customHeight="1">
      <c r="A10" s="645">
        <v>3</v>
      </c>
      <c r="B10" s="645"/>
      <c r="C10" s="76" t="s">
        <v>7</v>
      </c>
      <c r="D10" s="135">
        <f>E10/$E$32</f>
        <v>0.19900000000000001</v>
      </c>
      <c r="E10" s="502">
        <f>_3</f>
        <v>5650000</v>
      </c>
      <c r="F10" s="245"/>
      <c r="G10" s="245"/>
      <c r="H10" s="527"/>
      <c r="I10" s="34"/>
      <c r="J10" s="34"/>
    </row>
    <row r="11" spans="1:10" ht="12.95" customHeight="1">
      <c r="A11" s="315">
        <v>3</v>
      </c>
      <c r="B11" s="79" t="s">
        <v>17</v>
      </c>
      <c r="C11" s="80" t="s">
        <v>18</v>
      </c>
      <c r="D11" s="137"/>
      <c r="E11" s="516">
        <f>_3.01</f>
        <v>900000</v>
      </c>
      <c r="F11" s="245"/>
      <c r="G11" s="245"/>
      <c r="H11" s="528">
        <v>0</v>
      </c>
      <c r="I11" s="503">
        <f t="shared" ref="I11:I18" si="0">E11*H11</f>
        <v>0</v>
      </c>
      <c r="J11" s="34"/>
    </row>
    <row r="12" spans="1:10" ht="12.95" customHeight="1">
      <c r="A12" s="316">
        <v>3</v>
      </c>
      <c r="B12" s="83" t="s">
        <v>19</v>
      </c>
      <c r="C12" s="84" t="s">
        <v>26</v>
      </c>
      <c r="D12" s="138"/>
      <c r="E12" s="504">
        <f>_3.02</f>
        <v>1200000</v>
      </c>
      <c r="F12" s="245"/>
      <c r="G12" s="245"/>
      <c r="H12" s="528">
        <v>0</v>
      </c>
      <c r="I12" s="540">
        <f t="shared" si="0"/>
        <v>0</v>
      </c>
      <c r="J12" s="34"/>
    </row>
    <row r="13" spans="1:10" ht="12.95" customHeight="1">
      <c r="A13" s="316">
        <v>3</v>
      </c>
      <c r="B13" s="83" t="s">
        <v>20</v>
      </c>
      <c r="C13" s="84" t="s">
        <v>27</v>
      </c>
      <c r="D13" s="138"/>
      <c r="E13" s="517">
        <f>_3.03</f>
        <v>1000000</v>
      </c>
      <c r="F13" s="245"/>
      <c r="G13" s="245"/>
      <c r="H13" s="528">
        <v>0</v>
      </c>
      <c r="I13" s="540">
        <f t="shared" si="0"/>
        <v>0</v>
      </c>
      <c r="J13" s="34"/>
    </row>
    <row r="14" spans="1:10" ht="12.95" customHeight="1">
      <c r="A14" s="316">
        <v>3</v>
      </c>
      <c r="B14" s="83" t="s">
        <v>21</v>
      </c>
      <c r="C14" s="84" t="s">
        <v>28</v>
      </c>
      <c r="D14" s="138"/>
      <c r="E14" s="517">
        <f>_3.04</f>
        <v>1500000</v>
      </c>
      <c r="F14" s="245"/>
      <c r="G14" s="245"/>
      <c r="H14" s="528">
        <v>0</v>
      </c>
      <c r="I14" s="540">
        <f t="shared" si="0"/>
        <v>0</v>
      </c>
      <c r="J14" s="34"/>
    </row>
    <row r="15" spans="1:10" ht="12.95" customHeight="1">
      <c r="A15" s="316">
        <v>3</v>
      </c>
      <c r="B15" s="83" t="s">
        <v>22</v>
      </c>
      <c r="C15" s="84" t="s">
        <v>31</v>
      </c>
      <c r="D15" s="138"/>
      <c r="E15" s="517">
        <f>_3.05</f>
        <v>600000</v>
      </c>
      <c r="F15" s="245"/>
      <c r="G15" s="245"/>
      <c r="H15" s="528">
        <v>0</v>
      </c>
      <c r="I15" s="540">
        <f t="shared" si="0"/>
        <v>0</v>
      </c>
      <c r="J15" s="34"/>
    </row>
    <row r="16" spans="1:10" ht="12.95" customHeight="1">
      <c r="A16" s="316">
        <v>3</v>
      </c>
      <c r="B16" s="83" t="s">
        <v>23</v>
      </c>
      <c r="C16" s="84" t="s">
        <v>29</v>
      </c>
      <c r="D16" s="138"/>
      <c r="E16" s="517">
        <f>_3.06</f>
        <v>150000</v>
      </c>
      <c r="F16" s="245"/>
      <c r="G16" s="245"/>
      <c r="H16" s="528">
        <v>1</v>
      </c>
      <c r="I16" s="540">
        <f t="shared" si="0"/>
        <v>150000</v>
      </c>
      <c r="J16" s="34"/>
    </row>
    <row r="17" spans="1:10" ht="12.95" customHeight="1">
      <c r="A17" s="316">
        <v>3</v>
      </c>
      <c r="B17" s="83" t="s">
        <v>24</v>
      </c>
      <c r="C17" s="84" t="s">
        <v>30</v>
      </c>
      <c r="D17" s="138"/>
      <c r="E17" s="517">
        <f>_3.07</f>
        <v>0</v>
      </c>
      <c r="F17" s="245"/>
      <c r="G17" s="245"/>
      <c r="H17" s="528">
        <v>0</v>
      </c>
      <c r="I17" s="540">
        <f t="shared" si="0"/>
        <v>0</v>
      </c>
      <c r="J17" s="34"/>
    </row>
    <row r="18" spans="1:10" ht="12.95" customHeight="1">
      <c r="A18" s="316">
        <v>3</v>
      </c>
      <c r="B18" s="83" t="s">
        <v>25</v>
      </c>
      <c r="C18" s="84" t="s">
        <v>8</v>
      </c>
      <c r="D18" s="138"/>
      <c r="E18" s="517">
        <f>_3.08</f>
        <v>300000</v>
      </c>
      <c r="F18" s="245"/>
      <c r="G18" s="245"/>
      <c r="H18" s="528">
        <v>0</v>
      </c>
      <c r="I18" s="541">
        <f t="shared" si="0"/>
        <v>0</v>
      </c>
      <c r="J18" s="34"/>
    </row>
    <row r="19" spans="1:10" ht="3.95" customHeight="1">
      <c r="D19" s="136"/>
      <c r="E19" s="34"/>
      <c r="F19" s="33"/>
      <c r="G19" s="33"/>
      <c r="H19" s="529"/>
      <c r="I19" s="34"/>
      <c r="J19" s="151"/>
    </row>
    <row r="20" spans="1:10" s="10" customFormat="1" ht="12.75" customHeight="1">
      <c r="A20" s="645">
        <v>4</v>
      </c>
      <c r="B20" s="645"/>
      <c r="C20" s="76" t="s">
        <v>2</v>
      </c>
      <c r="D20" s="135">
        <f>E20/$E$32</f>
        <v>0.21099999999999999</v>
      </c>
      <c r="E20" s="479">
        <f>_4</f>
        <v>6000000</v>
      </c>
      <c r="F20" s="245"/>
      <c r="G20" s="245"/>
      <c r="H20" s="528">
        <v>0</v>
      </c>
      <c r="I20" s="479">
        <f>E20*H20</f>
        <v>0</v>
      </c>
      <c r="J20" s="34"/>
    </row>
    <row r="21" spans="1:10" ht="3.95" customHeight="1">
      <c r="B21" s="4"/>
      <c r="D21" s="136"/>
      <c r="E21" s="34"/>
      <c r="F21" s="33"/>
      <c r="G21" s="33"/>
      <c r="H21" s="527"/>
      <c r="I21" s="34"/>
      <c r="J21" s="33"/>
    </row>
    <row r="22" spans="1:10" s="11" customFormat="1" ht="12.95" customHeight="1">
      <c r="A22" s="645">
        <v>5</v>
      </c>
      <c r="B22" s="645"/>
      <c r="C22" s="76" t="s">
        <v>9</v>
      </c>
      <c r="D22" s="135">
        <f>E22/$E$32</f>
        <v>5.8000000000000003E-2</v>
      </c>
      <c r="E22" s="503">
        <f>_5</f>
        <v>1650000</v>
      </c>
      <c r="F22" s="245"/>
      <c r="G22" s="245"/>
      <c r="H22" s="528">
        <v>0</v>
      </c>
      <c r="I22" s="479">
        <f>E22*H22</f>
        <v>0</v>
      </c>
      <c r="J22" s="34"/>
    </row>
    <row r="23" spans="1:10" ht="3.95" customHeight="1">
      <c r="D23" s="136"/>
      <c r="E23" s="34"/>
      <c r="F23" s="33"/>
      <c r="G23" s="33"/>
      <c r="H23" s="527"/>
      <c r="I23" s="34"/>
      <c r="J23" s="34"/>
    </row>
    <row r="24" spans="1:10" s="10" customFormat="1" ht="12.95" customHeight="1">
      <c r="A24" s="645">
        <v>6</v>
      </c>
      <c r="B24" s="645"/>
      <c r="C24" s="76" t="s">
        <v>3</v>
      </c>
      <c r="D24" s="135">
        <f>E24/$E$32</f>
        <v>1.7999999999999999E-2</v>
      </c>
      <c r="E24" s="479">
        <f>_6</f>
        <v>500000</v>
      </c>
      <c r="F24" s="245"/>
      <c r="G24" s="245"/>
      <c r="H24" s="528">
        <v>0</v>
      </c>
      <c r="I24" s="479">
        <f>E24*H24</f>
        <v>0</v>
      </c>
      <c r="J24" s="34"/>
    </row>
    <row r="25" spans="1:10" ht="3.95" customHeight="1">
      <c r="B25" s="13"/>
      <c r="D25" s="139"/>
      <c r="E25" s="34"/>
      <c r="F25" s="33"/>
      <c r="G25" s="33"/>
      <c r="H25" s="527"/>
      <c r="I25" s="34"/>
      <c r="J25" s="34"/>
    </row>
    <row r="26" spans="1:10" s="11" customFormat="1" ht="12.95" customHeight="1">
      <c r="A26" s="645">
        <v>7</v>
      </c>
      <c r="B26" s="645"/>
      <c r="C26" s="76" t="s">
        <v>113</v>
      </c>
      <c r="D26" s="135">
        <f>E26/$E$32</f>
        <v>0.14099999999999999</v>
      </c>
      <c r="E26" s="479">
        <f>_7</f>
        <v>4000000</v>
      </c>
      <c r="F26" s="245"/>
      <c r="G26" s="245"/>
      <c r="H26" s="528">
        <v>0</v>
      </c>
      <c r="I26" s="479">
        <f>E26*H26</f>
        <v>0</v>
      </c>
      <c r="J26" s="34"/>
    </row>
    <row r="27" spans="1:10" ht="3.95" customHeight="1">
      <c r="D27" s="139"/>
      <c r="E27" s="34"/>
      <c r="F27" s="33"/>
      <c r="G27" s="33"/>
      <c r="H27" s="527"/>
      <c r="I27" s="34"/>
      <c r="J27" s="34"/>
    </row>
    <row r="28" spans="1:10" s="11" customFormat="1" ht="12.95" customHeight="1">
      <c r="A28" s="645">
        <v>8</v>
      </c>
      <c r="B28" s="645"/>
      <c r="C28" s="76" t="s">
        <v>129</v>
      </c>
      <c r="D28" s="135">
        <f>E28/$E$32</f>
        <v>1E-3</v>
      </c>
      <c r="E28" s="479">
        <f>_8</f>
        <v>36000</v>
      </c>
      <c r="F28" s="245"/>
      <c r="G28" s="245"/>
      <c r="H28" s="528">
        <v>0</v>
      </c>
      <c r="I28" s="479">
        <f>E28*H28</f>
        <v>0</v>
      </c>
      <c r="J28" s="34"/>
    </row>
    <row r="29" spans="1:10" ht="3.95" customHeight="1">
      <c r="D29" s="139"/>
      <c r="E29" s="34"/>
      <c r="F29" s="33"/>
      <c r="G29" s="33"/>
      <c r="H29" s="529"/>
      <c r="I29" s="34"/>
      <c r="J29" s="151"/>
    </row>
    <row r="30" spans="1:10" s="11" customFormat="1" ht="12.95" customHeight="1">
      <c r="A30" s="645">
        <v>9</v>
      </c>
      <c r="B30" s="645"/>
      <c r="C30" s="76" t="s">
        <v>10</v>
      </c>
      <c r="D30" s="135">
        <f>E30/$E$32</f>
        <v>5.6000000000000001E-2</v>
      </c>
      <c r="E30" s="479">
        <f>_9</f>
        <v>1600000</v>
      </c>
      <c r="F30" s="245"/>
      <c r="G30" s="245"/>
      <c r="H30" s="528">
        <v>0.1</v>
      </c>
      <c r="I30" s="479">
        <f>E30*H30</f>
        <v>160000</v>
      </c>
      <c r="J30" s="34"/>
    </row>
    <row r="31" spans="1:10" ht="9.9499999999999993" customHeight="1">
      <c r="B31" s="13"/>
      <c r="D31" s="32"/>
      <c r="E31" s="34"/>
      <c r="F31" s="33"/>
      <c r="G31" s="33"/>
      <c r="H31" s="542"/>
      <c r="I31" s="34"/>
      <c r="J31" s="1"/>
    </row>
    <row r="32" spans="1:10" ht="12.95" customHeight="1">
      <c r="A32" s="113" t="s">
        <v>12</v>
      </c>
      <c r="B32" s="114"/>
      <c r="C32" s="114"/>
      <c r="D32" s="71">
        <f>SUM(D6:D30)</f>
        <v>1</v>
      </c>
      <c r="E32" s="486">
        <f>_EK</f>
        <v>28451000</v>
      </c>
      <c r="F32" s="542"/>
      <c r="G32" s="542"/>
      <c r="H32" s="542"/>
      <c r="I32" s="542"/>
      <c r="J32" s="23"/>
    </row>
    <row r="33" spans="1:13" ht="3.95" customHeight="1">
      <c r="B33" s="248"/>
      <c r="D33" s="32"/>
      <c r="E33" s="23"/>
      <c r="H33" s="543"/>
      <c r="J33" s="1"/>
    </row>
    <row r="34" spans="1:13" s="10" customFormat="1" ht="12.95" customHeight="1">
      <c r="A34" s="306"/>
      <c r="B34" s="75" t="s">
        <v>159</v>
      </c>
      <c r="C34" s="76"/>
      <c r="D34" s="135"/>
      <c r="E34" s="479">
        <f>_mvB</f>
        <v>120000</v>
      </c>
      <c r="F34" s="245"/>
      <c r="G34" s="245"/>
      <c r="H34" s="528">
        <v>1</v>
      </c>
      <c r="I34" s="479">
        <f>E34*H34</f>
        <v>120000</v>
      </c>
    </row>
    <row r="35" spans="1:13" ht="6" customHeight="1">
      <c r="D35" s="32"/>
    </row>
    <row r="36" spans="1:13" s="14" customFormat="1" ht="12.95" customHeight="1">
      <c r="A36" s="191" t="s">
        <v>32</v>
      </c>
      <c r="B36" s="192"/>
      <c r="C36" s="192"/>
      <c r="D36" s="203"/>
      <c r="E36" s="203"/>
      <c r="F36" s="203"/>
      <c r="G36" s="203"/>
      <c r="H36" s="204"/>
      <c r="I36" s="353">
        <f>ROUND(SUM(I6:I34),2)</f>
        <v>430000</v>
      </c>
      <c r="J36" s="602"/>
      <c r="K36" s="605"/>
    </row>
    <row r="37" spans="1:13" ht="12.95" customHeight="1">
      <c r="A37" s="156"/>
      <c r="B37" s="156"/>
      <c r="C37" s="156"/>
      <c r="D37" s="156"/>
      <c r="E37" s="156"/>
      <c r="F37" s="156"/>
      <c r="G37" s="156"/>
      <c r="I37" s="177"/>
    </row>
    <row r="38" spans="1:13" ht="12.75" customHeight="1">
      <c r="A38" s="154" t="s">
        <v>158</v>
      </c>
      <c r="B38" s="154"/>
      <c r="C38" s="155"/>
      <c r="D38" s="155"/>
      <c r="E38" s="155"/>
      <c r="F38" s="155"/>
      <c r="G38" s="155"/>
      <c r="H38" s="154"/>
      <c r="I38" s="250"/>
      <c r="J38" s="157"/>
    </row>
    <row r="39" spans="1:13" ht="2.1" customHeight="1">
      <c r="A39" s="156"/>
      <c r="B39" s="156"/>
      <c r="C39" s="156"/>
      <c r="D39" s="156"/>
      <c r="E39" s="156"/>
      <c r="F39" s="156"/>
      <c r="G39" s="156"/>
      <c r="I39" s="177"/>
    </row>
    <row r="40" spans="1:13" ht="12.75" customHeight="1">
      <c r="A40" s="157" t="s">
        <v>78</v>
      </c>
      <c r="B40" s="156"/>
      <c r="C40" s="156"/>
      <c r="D40" s="156"/>
      <c r="E40" s="156"/>
      <c r="F40" s="156"/>
      <c r="G40" s="156"/>
      <c r="I40" s="177"/>
    </row>
    <row r="41" spans="1:13" ht="12.75" customHeight="1">
      <c r="A41" s="19"/>
      <c r="B41" s="19"/>
      <c r="E41" s="158" t="s">
        <v>5</v>
      </c>
      <c r="F41" s="159" t="s">
        <v>4</v>
      </c>
      <c r="G41" s="159"/>
      <c r="H41" s="646" t="s">
        <v>169</v>
      </c>
      <c r="I41" s="646"/>
      <c r="J41" s="241"/>
    </row>
    <row r="42" spans="1:13" ht="12.75" customHeight="1">
      <c r="B42" s="20" t="s">
        <v>46</v>
      </c>
      <c r="C42" s="35"/>
      <c r="D42" s="35"/>
      <c r="E42" s="117">
        <v>18</v>
      </c>
      <c r="F42" s="160" t="s">
        <v>58</v>
      </c>
      <c r="G42" s="159"/>
      <c r="H42" s="305"/>
      <c r="I42" s="304"/>
      <c r="J42" s="241"/>
    </row>
    <row r="43" spans="1:13" ht="12.75" customHeight="1">
      <c r="B43" s="21" t="s">
        <v>47</v>
      </c>
      <c r="C43" s="36"/>
      <c r="D43" s="36"/>
      <c r="E43" s="118">
        <v>2</v>
      </c>
      <c r="F43" s="161" t="s">
        <v>6</v>
      </c>
      <c r="G43" s="159"/>
      <c r="H43" s="299"/>
      <c r="I43" s="303"/>
      <c r="J43" s="241"/>
    </row>
    <row r="44" spans="1:13" ht="12.75" customHeight="1">
      <c r="B44" s="21" t="s">
        <v>48</v>
      </c>
      <c r="C44" s="36"/>
      <c r="D44" s="36"/>
      <c r="E44" s="118">
        <v>1</v>
      </c>
      <c r="F44" s="161" t="s">
        <v>6</v>
      </c>
      <c r="G44" s="159"/>
      <c r="H44" s="299"/>
      <c r="I44" s="303"/>
      <c r="J44" s="241"/>
    </row>
    <row r="45" spans="1:13" ht="12.75" customHeight="1">
      <c r="B45" s="21" t="s">
        <v>49</v>
      </c>
      <c r="C45" s="36"/>
      <c r="D45" s="36"/>
      <c r="E45" s="118">
        <v>2</v>
      </c>
      <c r="F45" s="161" t="s">
        <v>6</v>
      </c>
      <c r="G45" s="159"/>
      <c r="H45" s="299"/>
      <c r="I45" s="303"/>
      <c r="J45" s="241"/>
      <c r="M45" s="630"/>
    </row>
    <row r="46" spans="1:13" ht="4.5" customHeight="1">
      <c r="A46" s="19"/>
      <c r="B46" s="19"/>
      <c r="E46" s="162"/>
      <c r="F46" s="162"/>
      <c r="G46" s="162"/>
      <c r="H46" s="303"/>
      <c r="I46" s="303"/>
      <c r="J46" s="241"/>
    </row>
    <row r="47" spans="1:13" ht="12.75" customHeight="1">
      <c r="B47" s="553"/>
      <c r="C47" s="36" t="s">
        <v>204</v>
      </c>
      <c r="D47" s="36"/>
      <c r="E47" s="118">
        <v>0</v>
      </c>
      <c r="F47" s="161" t="s">
        <v>240</v>
      </c>
      <c r="G47" s="159"/>
      <c r="H47" s="302"/>
      <c r="I47" s="301"/>
      <c r="J47" s="241"/>
    </row>
    <row r="48" spans="1:13" ht="12.75" customHeight="1">
      <c r="B48" s="553"/>
      <c r="C48" s="36" t="s">
        <v>166</v>
      </c>
      <c r="D48" s="36"/>
      <c r="E48" s="118">
        <v>0</v>
      </c>
      <c r="F48" s="161" t="s">
        <v>240</v>
      </c>
      <c r="G48" s="159"/>
      <c r="H48" s="299"/>
      <c r="I48" s="298"/>
      <c r="J48" s="241"/>
    </row>
    <row r="49" spans="1:10" ht="12.75" customHeight="1">
      <c r="B49" s="553"/>
      <c r="C49" s="36" t="s">
        <v>165</v>
      </c>
      <c r="D49" s="36"/>
      <c r="E49" s="118">
        <v>0</v>
      </c>
      <c r="F49" s="161" t="s">
        <v>240</v>
      </c>
      <c r="G49" s="159"/>
      <c r="H49" s="299"/>
      <c r="I49" s="298"/>
      <c r="J49" s="241"/>
    </row>
    <row r="50" spans="1:10" ht="3.95" customHeight="1">
      <c r="B50" s="19"/>
      <c r="C50" s="532"/>
      <c r="D50" s="532"/>
      <c r="E50" s="606"/>
      <c r="F50" s="533"/>
      <c r="G50" s="241"/>
      <c r="I50" s="238"/>
      <c r="J50" s="40"/>
    </row>
    <row r="51" spans="1:10" ht="12.75" customHeight="1">
      <c r="B51" s="19" t="s">
        <v>45</v>
      </c>
      <c r="C51" s="163"/>
      <c r="D51" s="164"/>
      <c r="E51" s="182">
        <f>SUM(E42:E49)</f>
        <v>23</v>
      </c>
      <c r="F51" s="164"/>
      <c r="G51" s="164"/>
      <c r="I51" s="238"/>
      <c r="J51" s="1"/>
    </row>
    <row r="52" spans="1:10" ht="3.95" customHeight="1">
      <c r="B52" s="19"/>
      <c r="C52" s="164"/>
      <c r="D52" s="164"/>
      <c r="E52" s="164"/>
      <c r="F52" s="164"/>
      <c r="G52" s="164"/>
      <c r="I52" s="238"/>
      <c r="J52" s="1"/>
    </row>
    <row r="53" spans="1:10" ht="12.95" customHeight="1">
      <c r="A53" s="157" t="s">
        <v>15</v>
      </c>
      <c r="B53" s="157"/>
      <c r="C53" s="156"/>
      <c r="D53" s="156"/>
      <c r="E53" s="156"/>
      <c r="F53" s="156"/>
      <c r="G53" s="156"/>
      <c r="H53" s="251"/>
      <c r="I53" s="1"/>
    </row>
    <row r="54" spans="1:10" ht="4.5" customHeight="1">
      <c r="A54" s="157"/>
      <c r="B54" s="157"/>
      <c r="C54" s="157"/>
      <c r="I54" s="1"/>
    </row>
    <row r="55" spans="1:10" ht="12.75" customHeight="1">
      <c r="A55" s="166" t="s">
        <v>11</v>
      </c>
      <c r="B55" s="166"/>
      <c r="E55" s="195">
        <f>I36</f>
        <v>430000</v>
      </c>
      <c r="I55" s="1"/>
    </row>
    <row r="56" spans="1:10" ht="3.95" customHeight="1">
      <c r="A56" s="19"/>
      <c r="B56" s="19"/>
      <c r="C56" s="19"/>
      <c r="D56" s="19"/>
      <c r="E56" s="163"/>
      <c r="I56"/>
    </row>
    <row r="57" spans="1:10" ht="12.75" customHeight="1">
      <c r="A57" s="19" t="s">
        <v>74</v>
      </c>
      <c r="B57" s="19"/>
      <c r="E57" s="100">
        <f>0.03*E51+0.73</f>
        <v>1.42</v>
      </c>
      <c r="F57" s="661" t="str">
        <f>IF(I36&lt;50000,"! gemäß TA.9 (3): Ist die Bemessungsgrundlage niedriger als 50.000 €, sollte der Ermittlungsweg über Abschätzung des Büro- / Personalaufwandes gewählt werden","")</f>
        <v/>
      </c>
      <c r="G57" s="661"/>
      <c r="H57" s="661"/>
      <c r="I57" s="661"/>
    </row>
    <row r="58" spans="1:10" ht="3.95" customHeight="1">
      <c r="A58" s="19"/>
      <c r="B58" s="19"/>
      <c r="E58" s="29"/>
      <c r="F58" s="661"/>
      <c r="G58" s="661"/>
      <c r="H58" s="661"/>
      <c r="I58" s="661"/>
    </row>
    <row r="59" spans="1:10" ht="12.75" customHeight="1">
      <c r="A59" s="19" t="s">
        <v>76</v>
      </c>
      <c r="B59" s="19"/>
      <c r="E59" s="544">
        <f>ROUND(IF(E55&lt;2000000,202*E55^(-0.2248)*E57/100,(37.8*E55^(-0.109)*E57/100)),6)</f>
        <v>0.15532299999999999</v>
      </c>
      <c r="F59" s="661"/>
      <c r="G59" s="661"/>
      <c r="H59" s="661"/>
      <c r="I59" s="661"/>
    </row>
    <row r="60" spans="1:10" ht="15.95" customHeight="1">
      <c r="A60" s="24" t="s">
        <v>85</v>
      </c>
      <c r="B60" s="24"/>
      <c r="E60" s="513">
        <f>202*E55^(-0.2248)*E57/100</f>
        <v>0.15532299999999999</v>
      </c>
      <c r="F60" s="545" t="str">
        <f>IF(E55&lt;2000000,"(PL + ÖBA)","")</f>
        <v>(PL + ÖBA)</v>
      </c>
      <c r="G60" s="545"/>
      <c r="I60"/>
    </row>
    <row r="61" spans="1:10" ht="15.95" customHeight="1">
      <c r="A61" s="24" t="s">
        <v>86</v>
      </c>
      <c r="B61" s="24"/>
      <c r="C61" s="24"/>
      <c r="E61" s="513">
        <f>37.8*E55^(-0.109)*E57/100</f>
        <v>0.13053699999999999</v>
      </c>
      <c r="F61" s="207" t="str">
        <f>IF(E55&gt;1999999.99,"(PL + ÖBA)","")</f>
        <v/>
      </c>
      <c r="G61" s="207"/>
      <c r="I61"/>
    </row>
    <row r="62" spans="1:10" ht="13.5" customHeight="1">
      <c r="A62" s="24" t="s">
        <v>140</v>
      </c>
      <c r="B62" s="24"/>
      <c r="C62" s="24"/>
      <c r="E62" s="257">
        <v>0</v>
      </c>
      <c r="F62" s="207"/>
      <c r="H62" s="1"/>
      <c r="I62"/>
    </row>
    <row r="63" spans="1:10" ht="2.1" customHeight="1">
      <c r="A63" s="19"/>
      <c r="B63" s="19"/>
      <c r="E63" s="167"/>
      <c r="F63" s="167"/>
      <c r="G63" s="167"/>
      <c r="H63" s="1"/>
      <c r="I63"/>
    </row>
    <row r="64" spans="1:10" ht="15" customHeight="1">
      <c r="A64" s="22" t="s">
        <v>230</v>
      </c>
      <c r="B64" s="20"/>
      <c r="C64" s="168"/>
      <c r="D64" s="168"/>
      <c r="E64" s="169"/>
      <c r="F64" s="470">
        <f>E55*E59*(1+E62)</f>
        <v>66789</v>
      </c>
      <c r="G64" s="207"/>
      <c r="I64" s="1"/>
    </row>
    <row r="65" spans="1:11" ht="12.95" customHeight="1">
      <c r="A65" s="24"/>
      <c r="B65" s="19"/>
      <c r="C65" s="156"/>
      <c r="D65" s="275" t="s">
        <v>147</v>
      </c>
      <c r="E65" s="270" t="s">
        <v>5</v>
      </c>
      <c r="F65" s="170"/>
      <c r="G65" s="560"/>
      <c r="H65" s="158"/>
      <c r="I65" s="30"/>
    </row>
    <row r="66" spans="1:11" ht="12.75" customHeight="1">
      <c r="A66" s="156" t="s">
        <v>53</v>
      </c>
      <c r="B66" s="156"/>
      <c r="D66" s="271">
        <v>0.02</v>
      </c>
      <c r="E66" s="222">
        <v>0.02</v>
      </c>
      <c r="F66" s="177">
        <f t="shared" ref="F66:F75" si="1">$F$64*E66</f>
        <v>1336</v>
      </c>
      <c r="G66" s="295"/>
      <c r="H66" s="561"/>
      <c r="I66" s="177"/>
    </row>
    <row r="67" spans="1:11" ht="12.75" customHeight="1">
      <c r="A67" s="156" t="s">
        <v>35</v>
      </c>
      <c r="B67" s="156"/>
      <c r="D67" s="271">
        <v>0.09</v>
      </c>
      <c r="E67" s="223">
        <v>0.09</v>
      </c>
      <c r="F67" s="177">
        <f t="shared" si="1"/>
        <v>6011</v>
      </c>
      <c r="G67" s="294"/>
      <c r="H67" s="562"/>
      <c r="I67" s="177"/>
    </row>
    <row r="68" spans="1:11" ht="12.75" customHeight="1">
      <c r="A68" s="156" t="s">
        <v>36</v>
      </c>
      <c r="B68" s="156"/>
      <c r="D68" s="271">
        <v>0.16</v>
      </c>
      <c r="E68" s="223">
        <v>0.16</v>
      </c>
      <c r="F68" s="177">
        <f t="shared" si="1"/>
        <v>10686</v>
      </c>
      <c r="G68" s="294"/>
      <c r="H68" s="562"/>
      <c r="I68" s="177"/>
    </row>
    <row r="69" spans="1:11" ht="12.75" customHeight="1">
      <c r="A69" s="156" t="s">
        <v>37</v>
      </c>
      <c r="B69" s="156"/>
      <c r="D69" s="271">
        <v>0.05</v>
      </c>
      <c r="E69" s="223">
        <v>0.05</v>
      </c>
      <c r="F69" s="177">
        <f t="shared" si="1"/>
        <v>3339</v>
      </c>
      <c r="G69" s="294"/>
      <c r="H69" s="562"/>
      <c r="I69" s="177"/>
      <c r="K69" s="1" t="s">
        <v>87</v>
      </c>
    </row>
    <row r="70" spans="1:11" ht="12.75" customHeight="1">
      <c r="A70" s="156" t="s">
        <v>38</v>
      </c>
      <c r="B70" s="156"/>
      <c r="D70" s="271">
        <v>0.2</v>
      </c>
      <c r="E70" s="223">
        <v>0.2</v>
      </c>
      <c r="F70" s="177">
        <f t="shared" si="1"/>
        <v>13358</v>
      </c>
      <c r="G70" s="294"/>
      <c r="H70" s="562"/>
      <c r="I70" s="177"/>
    </row>
    <row r="71" spans="1:11" ht="12.75" customHeight="1">
      <c r="A71" s="156" t="s">
        <v>39</v>
      </c>
      <c r="B71" s="156"/>
      <c r="D71" s="271">
        <v>0.05</v>
      </c>
      <c r="E71" s="223">
        <v>0.05</v>
      </c>
      <c r="F71" s="177">
        <f t="shared" si="1"/>
        <v>3339</v>
      </c>
      <c r="G71" s="295"/>
      <c r="H71" s="561"/>
      <c r="I71" s="177"/>
    </row>
    <row r="72" spans="1:11" ht="12.75" customHeight="1">
      <c r="A72" s="156" t="s">
        <v>61</v>
      </c>
      <c r="B72" s="156"/>
      <c r="D72" s="271">
        <v>0.02</v>
      </c>
      <c r="E72" s="223">
        <v>0.02</v>
      </c>
      <c r="F72" s="177">
        <f t="shared" si="1"/>
        <v>1336</v>
      </c>
      <c r="G72" s="294"/>
      <c r="H72" s="562"/>
      <c r="I72" s="177"/>
    </row>
    <row r="73" spans="1:11" ht="12.75" customHeight="1">
      <c r="A73" s="156" t="s">
        <v>54</v>
      </c>
      <c r="B73" s="156"/>
      <c r="D73" s="271">
        <v>0.04</v>
      </c>
      <c r="E73" s="223">
        <v>0.04</v>
      </c>
      <c r="F73" s="177">
        <f t="shared" si="1"/>
        <v>2672</v>
      </c>
      <c r="G73" s="294"/>
      <c r="H73" s="562"/>
      <c r="I73" s="177"/>
    </row>
    <row r="74" spans="1:11" ht="12.75" customHeight="1">
      <c r="A74" s="156" t="s">
        <v>75</v>
      </c>
      <c r="B74" s="156"/>
      <c r="D74" s="271">
        <v>0.35</v>
      </c>
      <c r="E74" s="223">
        <v>0.35</v>
      </c>
      <c r="F74" s="177">
        <f t="shared" si="1"/>
        <v>23376</v>
      </c>
      <c r="G74" s="294"/>
      <c r="H74" s="562"/>
      <c r="I74" s="177"/>
    </row>
    <row r="75" spans="1:11" ht="12.75" customHeight="1">
      <c r="A75" s="168" t="s">
        <v>55</v>
      </c>
      <c r="B75" s="168"/>
      <c r="C75" s="35"/>
      <c r="D75" s="272">
        <v>0.02</v>
      </c>
      <c r="E75" s="224">
        <v>0.02</v>
      </c>
      <c r="F75" s="178">
        <f t="shared" si="1"/>
        <v>1336</v>
      </c>
      <c r="G75" s="293"/>
      <c r="H75" s="563"/>
      <c r="I75" s="178"/>
    </row>
    <row r="76" spans="1:11" s="16" customFormat="1" ht="18.600000000000001" customHeight="1">
      <c r="A76" s="292" t="s">
        <v>44</v>
      </c>
      <c r="B76" s="417"/>
      <c r="D76" s="621">
        <f>SUM(D66:D75)</f>
        <v>1</v>
      </c>
      <c r="E76" s="289">
        <f>SUM(E66:E75)</f>
        <v>1</v>
      </c>
      <c r="F76" s="420">
        <f>SUM(F66:F75)</f>
        <v>66789</v>
      </c>
      <c r="G76" s="288"/>
      <c r="H76" s="289"/>
      <c r="I76" s="420"/>
      <c r="J76" s="515"/>
    </row>
    <row r="77" spans="1:11" ht="12.75" customHeight="1">
      <c r="A77" s="534" t="s">
        <v>218</v>
      </c>
      <c r="B77" s="171"/>
      <c r="D77" s="535">
        <v>0.02</v>
      </c>
      <c r="E77" s="222">
        <v>0</v>
      </c>
      <c r="F77" s="177">
        <f t="shared" ref="F77:F84" si="2">$F$64*E77</f>
        <v>0</v>
      </c>
      <c r="G77" s="172"/>
      <c r="H77" s="177"/>
      <c r="I77" s="91"/>
    </row>
    <row r="78" spans="1:11" ht="12.75" customHeight="1">
      <c r="A78" s="534" t="s">
        <v>187</v>
      </c>
      <c r="B78" s="171"/>
      <c r="D78" s="535">
        <v>1.4999999999999999E-2</v>
      </c>
      <c r="E78" s="223">
        <v>0</v>
      </c>
      <c r="F78" s="177">
        <f t="shared" si="2"/>
        <v>0</v>
      </c>
      <c r="G78" s="172"/>
      <c r="H78" s="177"/>
      <c r="I78" s="91"/>
    </row>
    <row r="79" spans="1:11" ht="12.75" customHeight="1">
      <c r="A79" s="534" t="s">
        <v>219</v>
      </c>
      <c r="B79" s="171"/>
      <c r="D79" s="535">
        <v>2.5000000000000001E-2</v>
      </c>
      <c r="E79" s="223">
        <v>0</v>
      </c>
      <c r="F79" s="177">
        <f t="shared" si="2"/>
        <v>0</v>
      </c>
      <c r="G79" s="172"/>
      <c r="H79" s="177"/>
      <c r="I79" s="91"/>
    </row>
    <row r="80" spans="1:11" ht="12.75" customHeight="1">
      <c r="A80" s="534" t="s">
        <v>220</v>
      </c>
      <c r="B80" s="171"/>
      <c r="D80" s="535">
        <v>0.03</v>
      </c>
      <c r="E80" s="473">
        <v>0</v>
      </c>
      <c r="F80" s="177">
        <f t="shared" si="2"/>
        <v>0</v>
      </c>
      <c r="G80" s="172"/>
      <c r="H80" s="177"/>
      <c r="I80" s="91"/>
    </row>
    <row r="81" spans="1:13" ht="12.75" customHeight="1">
      <c r="A81" s="534" t="s">
        <v>222</v>
      </c>
      <c r="B81" s="171"/>
      <c r="D81" s="535">
        <v>0.02</v>
      </c>
      <c r="E81" s="471">
        <v>0</v>
      </c>
      <c r="F81" s="177">
        <f t="shared" si="2"/>
        <v>0</v>
      </c>
      <c r="G81" s="172"/>
      <c r="H81" s="177"/>
      <c r="I81" s="91"/>
    </row>
    <row r="82" spans="1:13" ht="12.75" customHeight="1">
      <c r="A82" s="534" t="s">
        <v>224</v>
      </c>
      <c r="B82" s="171"/>
      <c r="D82" s="295">
        <v>0.01</v>
      </c>
      <c r="E82" s="471">
        <v>0</v>
      </c>
      <c r="F82" s="177">
        <f t="shared" si="2"/>
        <v>0</v>
      </c>
      <c r="G82" s="172"/>
      <c r="H82" s="177"/>
      <c r="I82" s="91"/>
    </row>
    <row r="83" spans="1:13" ht="13.5" customHeight="1">
      <c r="A83" s="632" t="s">
        <v>250</v>
      </c>
      <c r="B83" s="171"/>
      <c r="D83" s="295">
        <v>0.01</v>
      </c>
      <c r="E83" s="471">
        <v>0</v>
      </c>
      <c r="F83" s="177">
        <f t="shared" si="2"/>
        <v>0</v>
      </c>
      <c r="G83" s="172"/>
      <c r="H83" s="177"/>
      <c r="I83" s="91"/>
    </row>
    <row r="84" spans="1:13" ht="12.75" customHeight="1">
      <c r="A84" s="634" t="s">
        <v>257</v>
      </c>
      <c r="B84" s="174"/>
      <c r="C84" s="35"/>
      <c r="D84" s="493">
        <v>0.04</v>
      </c>
      <c r="E84" s="224">
        <v>0</v>
      </c>
      <c r="F84" s="178">
        <f t="shared" si="2"/>
        <v>0</v>
      </c>
      <c r="G84" s="600"/>
      <c r="H84" s="178"/>
      <c r="I84" s="603"/>
      <c r="J84" s="1"/>
    </row>
    <row r="85" spans="1:13" ht="12.75" customHeight="1">
      <c r="A85" s="644" t="s">
        <v>251</v>
      </c>
      <c r="B85" s="644"/>
      <c r="C85" s="644"/>
      <c r="D85" s="623">
        <f>SUM(D76:D84)</f>
        <v>1.17</v>
      </c>
      <c r="E85" s="172">
        <f>SUM(E76:E84)</f>
        <v>1</v>
      </c>
      <c r="F85" s="288">
        <f>SUM(F77:F84)+F76</f>
        <v>66789</v>
      </c>
      <c r="H85" s="172"/>
      <c r="I85" s="546">
        <f>F85</f>
        <v>66789</v>
      </c>
      <c r="J85" s="1"/>
      <c r="K85" s="9"/>
    </row>
    <row r="86" spans="1:13" ht="12.75" customHeight="1">
      <c r="A86" s="175"/>
      <c r="B86" s="19"/>
      <c r="D86" s="172"/>
      <c r="E86" s="172"/>
      <c r="F86" s="179"/>
      <c r="G86" s="8"/>
      <c r="I86" s="356"/>
      <c r="J86" s="1"/>
    </row>
    <row r="87" spans="1:13" ht="12.75" customHeight="1">
      <c r="A87" s="33" t="s">
        <v>123</v>
      </c>
      <c r="E87" s="357">
        <v>0</v>
      </c>
      <c r="F87" s="229">
        <v>0</v>
      </c>
      <c r="G87" s="8"/>
      <c r="I87" s="91">
        <f>E87*F87</f>
        <v>0</v>
      </c>
      <c r="K87"/>
      <c r="L87"/>
      <c r="M87"/>
    </row>
    <row r="88" spans="1:13" ht="3" customHeight="1">
      <c r="E88" s="108"/>
      <c r="I88"/>
    </row>
    <row r="89" spans="1:13" s="24" customFormat="1" ht="12.75">
      <c r="A89" s="94" t="s">
        <v>231</v>
      </c>
      <c r="B89" s="95"/>
      <c r="C89" s="96"/>
      <c r="D89" s="98"/>
      <c r="E89" s="109"/>
      <c r="F89" s="97"/>
      <c r="G89" s="97"/>
      <c r="H89" s="97"/>
      <c r="I89" s="99">
        <f>I85+I87</f>
        <v>66789</v>
      </c>
    </row>
    <row r="90" spans="1:13" s="24" customFormat="1" ht="3" customHeight="1">
      <c r="B90" s="25"/>
      <c r="C90" s="26"/>
      <c r="D90" s="47"/>
      <c r="E90" s="48"/>
      <c r="F90" s="48"/>
      <c r="G90" s="48"/>
      <c r="I90" s="91"/>
    </row>
    <row r="91" spans="1:13" s="24" customFormat="1" ht="12.75">
      <c r="A91" s="49" t="s">
        <v>13</v>
      </c>
      <c r="B91" s="25"/>
      <c r="C91" s="26"/>
      <c r="D91" s="47"/>
      <c r="E91" s="218">
        <v>0.04</v>
      </c>
      <c r="F91" s="48"/>
      <c r="G91" s="48"/>
      <c r="I91" s="91">
        <f>ROUND(I89*E91,2)</f>
        <v>2672</v>
      </c>
    </row>
    <row r="92" spans="1:13" s="24" customFormat="1" ht="3" customHeight="1">
      <c r="A92" s="50"/>
      <c r="B92" s="51"/>
      <c r="C92" s="52"/>
      <c r="D92" s="56"/>
      <c r="E92" s="219"/>
      <c r="F92" s="57"/>
      <c r="G92" s="57"/>
      <c r="H92" s="50"/>
      <c r="I92" s="93"/>
    </row>
    <row r="93" spans="1:13" s="24" customFormat="1" ht="3" customHeight="1">
      <c r="B93" s="25"/>
      <c r="C93" s="26"/>
      <c r="D93" s="58"/>
      <c r="E93" s="220"/>
      <c r="F93" s="65"/>
      <c r="G93" s="65"/>
      <c r="H93" s="59"/>
      <c r="I93" s="91"/>
    </row>
    <row r="94" spans="1:13" s="24" customFormat="1" ht="12.75">
      <c r="A94" s="53" t="s">
        <v>232</v>
      </c>
      <c r="B94" s="54"/>
      <c r="C94" s="55"/>
      <c r="D94" s="27"/>
      <c r="E94" s="217"/>
      <c r="F94" s="48"/>
      <c r="G94" s="48"/>
      <c r="I94" s="92">
        <f>I89+I91</f>
        <v>69461</v>
      </c>
    </row>
    <row r="95" spans="1:13" s="24" customFormat="1" ht="12.75">
      <c r="A95" s="24" t="s">
        <v>14</v>
      </c>
      <c r="B95" s="25"/>
      <c r="C95" s="26"/>
      <c r="D95" s="27"/>
      <c r="E95" s="28">
        <v>0.2</v>
      </c>
      <c r="F95" s="28"/>
      <c r="G95" s="28"/>
      <c r="I95" s="91">
        <f>ROUND(I94*E95,2)</f>
        <v>13892</v>
      </c>
    </row>
    <row r="96" spans="1:13" s="24" customFormat="1" ht="3" customHeight="1">
      <c r="B96" s="25"/>
      <c r="C96" s="26"/>
      <c r="D96" s="27"/>
      <c r="E96" s="48"/>
      <c r="F96" s="48"/>
      <c r="G96" s="48"/>
      <c r="I96" s="91"/>
    </row>
    <row r="97" spans="1:13" s="24" customFormat="1" ht="12.75">
      <c r="A97" s="184" t="s">
        <v>233</v>
      </c>
      <c r="B97" s="196"/>
      <c r="C97" s="185"/>
      <c r="D97" s="187"/>
      <c r="E97" s="188"/>
      <c r="F97" s="188"/>
      <c r="G97" s="188"/>
      <c r="H97" s="186"/>
      <c r="I97" s="189">
        <f>SUM(I93:I95)</f>
        <v>83353</v>
      </c>
    </row>
    <row r="98" spans="1:13" s="9" customFormat="1" ht="3" customHeight="1">
      <c r="A98" s="1"/>
      <c r="B98" s="7"/>
      <c r="C98" s="1"/>
      <c r="D98" s="1"/>
      <c r="E98" s="1"/>
      <c r="F98" s="1"/>
      <c r="G98" s="1"/>
      <c r="H98" s="8"/>
      <c r="K98" s="1"/>
      <c r="L98" s="1"/>
      <c r="M98" s="1"/>
    </row>
    <row r="99" spans="1:13" ht="12.75">
      <c r="A99" s="198" t="s">
        <v>106</v>
      </c>
      <c r="E99" s="255">
        <f>I94/E32</f>
        <v>2.441E-3</v>
      </c>
    </row>
  </sheetData>
  <sheetProtection algorithmName="SHA-512" hashValue="xEiZQI5kvsQKh8lCsN4ptf9UQ3i/NzsQP4sSUH4NCwSA5OBLreZQoL+gJDoUCqOxwVgGsW8Vj83UQVk/l3p8ow==" saltValue="XRSX/8AK5xIfxjhXgrSKBQ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3" priority="2" stopIfTrue="1">
      <formula>$E$55&gt;1999999.99</formula>
    </cfRule>
  </conditionalFormatting>
  <conditionalFormatting sqref="E61">
    <cfRule type="expression" dxfId="2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&amp;L&amp;"Arial,Fett"&amp;K01+021Angebot TA | Anlagengruppen aufgegliedert
&amp;"Arial,Standard"nach LM.VM.2023&amp;R&amp;"Arial,Standard"&amp;K01+022Version 1
Stand: 15.09.2023</oddHeader>
    <oddFooter>&amp;L&amp;"Arial,Fett"&amp;K01+030LM.VM.2023&amp;"Arial,Standard"  | &amp;A |  Angebotsformular&amp;R&amp;"Arial,Standard"&amp;K01+030&amp;P/&amp;N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41</xdr:row>
                    <xdr:rowOff>28575</xdr:rowOff>
                  </from>
                  <to>
                    <xdr:col>8</xdr:col>
                    <xdr:colOff>1000125</xdr:colOff>
                    <xdr:row>41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8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28575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39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1000125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0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28575</xdr:rowOff>
                  </from>
                  <to>
                    <xdr:col>8</xdr:col>
                    <xdr:colOff>1009650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9" name="Scroll Bar 6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1000125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3" r:id="rId10" name="Scroll Bar 7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2F24-92FA-4337-8C3E-C62F93932934}">
  <sheetPr>
    <tabColor theme="6"/>
  </sheetPr>
  <dimension ref="A1:M99"/>
  <sheetViews>
    <sheetView showGridLines="0" zoomScaleNormal="100" zoomScaleSheetLayoutView="85" zoomScalePageLayoutView="70" workbookViewId="0">
      <selection activeCell="A77" sqref="A77:A84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23.25" customHeight="1">
      <c r="A2" s="107" t="s">
        <v>107</v>
      </c>
      <c r="E2" s="38"/>
      <c r="F2" s="38"/>
      <c r="G2" s="38"/>
      <c r="H2" s="648" t="s">
        <v>229</v>
      </c>
      <c r="I2" s="648"/>
      <c r="J2" s="43"/>
    </row>
    <row r="3" spans="1:10" s="10" customFormat="1" ht="2.1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2.1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1" customFormat="1" ht="12.95" customHeight="1">
      <c r="A6" s="645">
        <v>1</v>
      </c>
      <c r="B6" s="645"/>
      <c r="C6" s="76" t="s">
        <v>0</v>
      </c>
      <c r="D6" s="135">
        <f>E6/$E$32</f>
        <v>1E-3</v>
      </c>
      <c r="E6" s="479">
        <f>_1</f>
        <v>15000</v>
      </c>
      <c r="F6" s="245"/>
      <c r="G6" s="245"/>
      <c r="H6" s="526">
        <v>0</v>
      </c>
      <c r="I6" s="479">
        <f>E6*H6</f>
        <v>0</v>
      </c>
      <c r="J6" s="34"/>
    </row>
    <row r="7" spans="1:10" ht="3.95" customHeight="1">
      <c r="B7" s="4"/>
      <c r="D7" s="136"/>
      <c r="E7" s="44"/>
      <c r="F7" s="33"/>
      <c r="G7" s="33"/>
      <c r="H7" s="527"/>
      <c r="I7" s="44"/>
      <c r="J7" s="44"/>
    </row>
    <row r="8" spans="1:10" s="11" customFormat="1" ht="12.95" customHeight="1">
      <c r="A8" s="645">
        <v>2</v>
      </c>
      <c r="B8" s="645"/>
      <c r="C8" s="76" t="s">
        <v>1</v>
      </c>
      <c r="D8" s="135">
        <f>E8/$E$32</f>
        <v>0.316</v>
      </c>
      <c r="E8" s="479">
        <f>_2</f>
        <v>9000000</v>
      </c>
      <c r="F8" s="245"/>
      <c r="G8" s="245"/>
      <c r="H8" s="528">
        <v>0</v>
      </c>
      <c r="I8" s="479">
        <f>E8*H8</f>
        <v>0</v>
      </c>
      <c r="J8" s="34"/>
    </row>
    <row r="9" spans="1:10" ht="3.95" customHeight="1">
      <c r="D9" s="136"/>
      <c r="E9" s="34"/>
      <c r="F9" s="33"/>
      <c r="G9" s="33"/>
      <c r="H9" s="527"/>
      <c r="I9" s="34"/>
      <c r="J9" s="34"/>
    </row>
    <row r="10" spans="1:10" s="10" customFormat="1" ht="12.95" customHeight="1">
      <c r="A10" s="645">
        <v>3</v>
      </c>
      <c r="B10" s="645"/>
      <c r="C10" s="76" t="s">
        <v>7</v>
      </c>
      <c r="D10" s="135">
        <f>E10/$E$32</f>
        <v>0.19900000000000001</v>
      </c>
      <c r="E10" s="502">
        <f>_3</f>
        <v>5650000</v>
      </c>
      <c r="F10" s="245"/>
      <c r="G10" s="245"/>
      <c r="H10" s="527"/>
      <c r="I10" s="34"/>
      <c r="J10" s="34"/>
    </row>
    <row r="11" spans="1:10" ht="12.95" customHeight="1">
      <c r="A11" s="315">
        <v>3</v>
      </c>
      <c r="B11" s="79" t="s">
        <v>17</v>
      </c>
      <c r="C11" s="80" t="s">
        <v>18</v>
      </c>
      <c r="D11" s="137"/>
      <c r="E11" s="516">
        <f>_3.01</f>
        <v>900000</v>
      </c>
      <c r="F11" s="245"/>
      <c r="G11" s="245"/>
      <c r="H11" s="528">
        <v>0</v>
      </c>
      <c r="I11" s="503">
        <f t="shared" ref="I11:I18" si="0">E11*H11</f>
        <v>0</v>
      </c>
      <c r="J11" s="34"/>
    </row>
    <row r="12" spans="1:10" ht="12.95" customHeight="1">
      <c r="A12" s="316">
        <v>3</v>
      </c>
      <c r="B12" s="83" t="s">
        <v>19</v>
      </c>
      <c r="C12" s="84" t="s">
        <v>26</v>
      </c>
      <c r="D12" s="138"/>
      <c r="E12" s="504">
        <f>_3.02</f>
        <v>1200000</v>
      </c>
      <c r="F12" s="245"/>
      <c r="G12" s="245"/>
      <c r="H12" s="528">
        <v>0</v>
      </c>
      <c r="I12" s="540">
        <f t="shared" si="0"/>
        <v>0</v>
      </c>
      <c r="J12" s="34"/>
    </row>
    <row r="13" spans="1:10" ht="12.95" customHeight="1">
      <c r="A13" s="316">
        <v>3</v>
      </c>
      <c r="B13" s="83" t="s">
        <v>20</v>
      </c>
      <c r="C13" s="84" t="s">
        <v>27</v>
      </c>
      <c r="D13" s="138"/>
      <c r="E13" s="517">
        <f>_3.03</f>
        <v>1000000</v>
      </c>
      <c r="F13" s="245"/>
      <c r="G13" s="245"/>
      <c r="H13" s="528">
        <v>0</v>
      </c>
      <c r="I13" s="540">
        <f t="shared" si="0"/>
        <v>0</v>
      </c>
      <c r="J13" s="34"/>
    </row>
    <row r="14" spans="1:10" ht="12.95" customHeight="1">
      <c r="A14" s="316">
        <v>3</v>
      </c>
      <c r="B14" s="83" t="s">
        <v>21</v>
      </c>
      <c r="C14" s="84" t="s">
        <v>28</v>
      </c>
      <c r="D14" s="138"/>
      <c r="E14" s="517">
        <f>_3.04</f>
        <v>1500000</v>
      </c>
      <c r="F14" s="245"/>
      <c r="G14" s="245"/>
      <c r="H14" s="528">
        <v>0</v>
      </c>
      <c r="I14" s="540">
        <f t="shared" si="0"/>
        <v>0</v>
      </c>
      <c r="J14" s="34"/>
    </row>
    <row r="15" spans="1:10" ht="12.95" customHeight="1">
      <c r="A15" s="316">
        <v>3</v>
      </c>
      <c r="B15" s="83" t="s">
        <v>22</v>
      </c>
      <c r="C15" s="84" t="s">
        <v>31</v>
      </c>
      <c r="D15" s="138"/>
      <c r="E15" s="517">
        <f>_3.05</f>
        <v>600000</v>
      </c>
      <c r="F15" s="245"/>
      <c r="G15" s="245"/>
      <c r="H15" s="528">
        <v>0</v>
      </c>
      <c r="I15" s="540">
        <f t="shared" si="0"/>
        <v>0</v>
      </c>
      <c r="J15" s="34"/>
    </row>
    <row r="16" spans="1:10" ht="12.95" customHeight="1">
      <c r="A16" s="316">
        <v>3</v>
      </c>
      <c r="B16" s="83" t="s">
        <v>23</v>
      </c>
      <c r="C16" s="84" t="s">
        <v>29</v>
      </c>
      <c r="D16" s="138"/>
      <c r="E16" s="517">
        <f>_3.06</f>
        <v>150000</v>
      </c>
      <c r="F16" s="245"/>
      <c r="G16" s="245"/>
      <c r="H16" s="528">
        <v>0</v>
      </c>
      <c r="I16" s="540">
        <f t="shared" si="0"/>
        <v>0</v>
      </c>
      <c r="J16" s="34"/>
    </row>
    <row r="17" spans="1:10" ht="12.95" customHeight="1">
      <c r="A17" s="316">
        <v>3</v>
      </c>
      <c r="B17" s="83" t="s">
        <v>24</v>
      </c>
      <c r="C17" s="84" t="s">
        <v>30</v>
      </c>
      <c r="D17" s="138"/>
      <c r="E17" s="517">
        <f>_3.07</f>
        <v>0</v>
      </c>
      <c r="F17" s="245"/>
      <c r="G17" s="245"/>
      <c r="H17" s="528">
        <v>0</v>
      </c>
      <c r="I17" s="540">
        <f t="shared" si="0"/>
        <v>0</v>
      </c>
      <c r="J17" s="34"/>
    </row>
    <row r="18" spans="1:10" ht="12.95" customHeight="1">
      <c r="A18" s="316">
        <v>3</v>
      </c>
      <c r="B18" s="83" t="s">
        <v>25</v>
      </c>
      <c r="C18" s="84" t="s">
        <v>8</v>
      </c>
      <c r="D18" s="138"/>
      <c r="E18" s="517">
        <f>_3.08</f>
        <v>300000</v>
      </c>
      <c r="F18" s="245"/>
      <c r="G18" s="245"/>
      <c r="H18" s="528">
        <v>1</v>
      </c>
      <c r="I18" s="541">
        <f t="shared" si="0"/>
        <v>300000</v>
      </c>
      <c r="J18" s="34"/>
    </row>
    <row r="19" spans="1:10" ht="3.95" customHeight="1">
      <c r="D19" s="136"/>
      <c r="E19" s="34"/>
      <c r="F19" s="33"/>
      <c r="G19" s="33"/>
      <c r="H19" s="529"/>
      <c r="I19" s="34"/>
      <c r="J19" s="151"/>
    </row>
    <row r="20" spans="1:10" s="10" customFormat="1" ht="12.75" customHeight="1">
      <c r="A20" s="645">
        <v>4</v>
      </c>
      <c r="B20" s="645"/>
      <c r="C20" s="76" t="s">
        <v>2</v>
      </c>
      <c r="D20" s="135">
        <f>E20/$E$32</f>
        <v>0.21099999999999999</v>
      </c>
      <c r="E20" s="479">
        <f>_4</f>
        <v>6000000</v>
      </c>
      <c r="F20" s="245"/>
      <c r="G20" s="245"/>
      <c r="H20" s="528">
        <v>0</v>
      </c>
      <c r="I20" s="479">
        <f>E20*H20</f>
        <v>0</v>
      </c>
      <c r="J20" s="34"/>
    </row>
    <row r="21" spans="1:10" ht="3.95" customHeight="1">
      <c r="B21" s="4"/>
      <c r="D21" s="136"/>
      <c r="E21" s="34"/>
      <c r="F21" s="33"/>
      <c r="G21" s="33"/>
      <c r="H21" s="527"/>
      <c r="I21" s="34"/>
      <c r="J21" s="33"/>
    </row>
    <row r="22" spans="1:10" s="11" customFormat="1" ht="12.95" customHeight="1">
      <c r="A22" s="645">
        <v>5</v>
      </c>
      <c r="B22" s="645"/>
      <c r="C22" s="76" t="s">
        <v>9</v>
      </c>
      <c r="D22" s="135">
        <f>E22/$E$32</f>
        <v>5.8000000000000003E-2</v>
      </c>
      <c r="E22" s="503">
        <f>_5</f>
        <v>1650000</v>
      </c>
      <c r="F22" s="245"/>
      <c r="G22" s="245"/>
      <c r="H22" s="528">
        <v>0</v>
      </c>
      <c r="I22" s="479">
        <f>E22*H22</f>
        <v>0</v>
      </c>
      <c r="J22" s="34"/>
    </row>
    <row r="23" spans="1:10" ht="3.95" customHeight="1">
      <c r="D23" s="136"/>
      <c r="E23" s="34"/>
      <c r="F23" s="33"/>
      <c r="G23" s="33"/>
      <c r="H23" s="527"/>
      <c r="I23" s="34"/>
      <c r="J23" s="34"/>
    </row>
    <row r="24" spans="1:10" s="10" customFormat="1" ht="12.95" customHeight="1">
      <c r="A24" s="645">
        <v>6</v>
      </c>
      <c r="B24" s="645"/>
      <c r="C24" s="76" t="s">
        <v>3</v>
      </c>
      <c r="D24" s="135">
        <f>E24/$E$32</f>
        <v>1.7999999999999999E-2</v>
      </c>
      <c r="E24" s="479">
        <f>_6</f>
        <v>500000</v>
      </c>
      <c r="F24" s="245"/>
      <c r="G24" s="245"/>
      <c r="H24" s="528">
        <v>0</v>
      </c>
      <c r="I24" s="479">
        <f>E24*H24</f>
        <v>0</v>
      </c>
      <c r="J24" s="34"/>
    </row>
    <row r="25" spans="1:10" ht="3.95" customHeight="1">
      <c r="B25" s="13"/>
      <c r="D25" s="139"/>
      <c r="E25" s="34"/>
      <c r="F25" s="33"/>
      <c r="G25" s="33"/>
      <c r="H25" s="527"/>
      <c r="I25" s="34"/>
      <c r="J25" s="34"/>
    </row>
    <row r="26" spans="1:10" s="11" customFormat="1" ht="12.95" customHeight="1">
      <c r="A26" s="645">
        <v>7</v>
      </c>
      <c r="B26" s="645"/>
      <c r="C26" s="76" t="s">
        <v>113</v>
      </c>
      <c r="D26" s="135">
        <f>E26/$E$32</f>
        <v>0.14099999999999999</v>
      </c>
      <c r="E26" s="479">
        <f>_7</f>
        <v>4000000</v>
      </c>
      <c r="F26" s="245"/>
      <c r="G26" s="245"/>
      <c r="H26" s="528">
        <v>0</v>
      </c>
      <c r="I26" s="479">
        <f>E26*H26</f>
        <v>0</v>
      </c>
      <c r="J26" s="34"/>
    </row>
    <row r="27" spans="1:10" ht="3.95" customHeight="1">
      <c r="D27" s="139"/>
      <c r="E27" s="34"/>
      <c r="F27" s="33"/>
      <c r="G27" s="33"/>
      <c r="H27" s="527"/>
      <c r="I27" s="34"/>
      <c r="J27" s="34"/>
    </row>
    <row r="28" spans="1:10" s="11" customFormat="1" ht="12.95" customHeight="1">
      <c r="A28" s="645">
        <v>8</v>
      </c>
      <c r="B28" s="645"/>
      <c r="C28" s="76" t="s">
        <v>129</v>
      </c>
      <c r="D28" s="135">
        <f>E28/$E$32</f>
        <v>1E-3</v>
      </c>
      <c r="E28" s="479">
        <f>_8</f>
        <v>36000</v>
      </c>
      <c r="F28" s="245"/>
      <c r="G28" s="245"/>
      <c r="H28" s="528">
        <v>0</v>
      </c>
      <c r="I28" s="479">
        <f>E28*H28</f>
        <v>0</v>
      </c>
      <c r="J28" s="34"/>
    </row>
    <row r="29" spans="1:10" ht="3.95" customHeight="1">
      <c r="D29" s="139"/>
      <c r="E29" s="34"/>
      <c r="F29" s="33"/>
      <c r="G29" s="33"/>
      <c r="H29" s="529"/>
      <c r="I29" s="34"/>
      <c r="J29" s="151"/>
    </row>
    <row r="30" spans="1:10" s="11" customFormat="1" ht="12.95" customHeight="1">
      <c r="A30" s="645">
        <v>9</v>
      </c>
      <c r="B30" s="645"/>
      <c r="C30" s="76" t="s">
        <v>10</v>
      </c>
      <c r="D30" s="135">
        <f>E30/$E$32</f>
        <v>5.6000000000000001E-2</v>
      </c>
      <c r="E30" s="479">
        <f>_9</f>
        <v>1600000</v>
      </c>
      <c r="F30" s="245"/>
      <c r="G30" s="245"/>
      <c r="H30" s="528">
        <v>0.1</v>
      </c>
      <c r="I30" s="479">
        <f>E30*H30</f>
        <v>160000</v>
      </c>
      <c r="J30" s="34"/>
    </row>
    <row r="31" spans="1:10" ht="9.9499999999999993" customHeight="1">
      <c r="B31" s="13"/>
      <c r="D31" s="32"/>
      <c r="E31" s="34"/>
      <c r="F31" s="33"/>
      <c r="G31" s="33"/>
      <c r="H31" s="542"/>
      <c r="I31" s="34"/>
      <c r="J31" s="1"/>
    </row>
    <row r="32" spans="1:10" ht="12.95" customHeight="1">
      <c r="A32" s="113" t="s">
        <v>12</v>
      </c>
      <c r="B32" s="114"/>
      <c r="C32" s="114"/>
      <c r="D32" s="71">
        <f>SUM(D6:D30)</f>
        <v>1</v>
      </c>
      <c r="E32" s="486">
        <f>_EK</f>
        <v>28451000</v>
      </c>
      <c r="F32" s="542"/>
      <c r="G32" s="542"/>
      <c r="H32" s="542"/>
      <c r="I32" s="542"/>
      <c r="J32" s="23"/>
    </row>
    <row r="33" spans="1:11" ht="3.95" customHeight="1">
      <c r="B33" s="248"/>
      <c r="D33" s="32"/>
      <c r="E33" s="23"/>
      <c r="H33" s="543"/>
      <c r="J33" s="1"/>
    </row>
    <row r="34" spans="1:11" s="10" customFormat="1" ht="12.95" customHeight="1">
      <c r="A34" s="306"/>
      <c r="B34" s="75" t="s">
        <v>159</v>
      </c>
      <c r="C34" s="76"/>
      <c r="D34" s="135"/>
      <c r="E34" s="479">
        <f>_mvB</f>
        <v>120000</v>
      </c>
      <c r="F34" s="245"/>
      <c r="G34" s="245"/>
      <c r="H34" s="528">
        <v>1</v>
      </c>
      <c r="I34" s="479">
        <f>E34*H34</f>
        <v>120000</v>
      </c>
    </row>
    <row r="35" spans="1:11" ht="6" customHeight="1">
      <c r="D35" s="32"/>
    </row>
    <row r="36" spans="1:11" s="14" customFormat="1" ht="12.95" customHeight="1">
      <c r="A36" s="191" t="s">
        <v>32</v>
      </c>
      <c r="B36" s="192"/>
      <c r="C36" s="192"/>
      <c r="D36" s="203"/>
      <c r="E36" s="203"/>
      <c r="F36" s="203"/>
      <c r="G36" s="203"/>
      <c r="H36" s="204"/>
      <c r="I36" s="353">
        <f>ROUND(SUM(I6:I34),2)</f>
        <v>580000</v>
      </c>
      <c r="J36" s="602"/>
      <c r="K36" s="605"/>
    </row>
    <row r="37" spans="1:11" ht="12.95" customHeight="1">
      <c r="A37" s="156"/>
      <c r="B37" s="156"/>
      <c r="C37" s="156"/>
      <c r="D37" s="156"/>
      <c r="E37" s="156"/>
      <c r="F37" s="156"/>
      <c r="G37" s="156"/>
      <c r="I37" s="177"/>
    </row>
    <row r="38" spans="1:11" ht="12.75" customHeight="1">
      <c r="A38" s="154" t="s">
        <v>158</v>
      </c>
      <c r="B38" s="154"/>
      <c r="C38" s="155"/>
      <c r="D38" s="155"/>
      <c r="E38" s="155"/>
      <c r="F38" s="155"/>
      <c r="G38" s="155"/>
      <c r="H38" s="154"/>
      <c r="I38" s="250"/>
      <c r="J38" s="157"/>
    </row>
    <row r="39" spans="1:11" ht="2.1" customHeight="1">
      <c r="A39" s="156"/>
      <c r="B39" s="156"/>
      <c r="C39" s="156"/>
      <c r="D39" s="156"/>
      <c r="E39" s="156"/>
      <c r="F39" s="156"/>
      <c r="G39" s="156"/>
      <c r="I39" s="177"/>
    </row>
    <row r="40" spans="1:11" ht="12.75" customHeight="1">
      <c r="A40" s="157" t="s">
        <v>78</v>
      </c>
      <c r="B40" s="156"/>
      <c r="C40" s="156"/>
      <c r="D40" s="156"/>
      <c r="E40" s="156"/>
      <c r="F40" s="156"/>
      <c r="G40" s="156"/>
      <c r="I40" s="177"/>
    </row>
    <row r="41" spans="1:11" ht="12.75" customHeight="1">
      <c r="A41" s="19"/>
      <c r="B41" s="19"/>
      <c r="E41" s="158" t="s">
        <v>5</v>
      </c>
      <c r="F41" s="159" t="s">
        <v>4</v>
      </c>
      <c r="G41" s="159"/>
      <c r="H41" s="646" t="s">
        <v>169</v>
      </c>
      <c r="I41" s="646"/>
      <c r="J41" s="241"/>
    </row>
    <row r="42" spans="1:11" ht="12.75" customHeight="1">
      <c r="B42" s="20" t="s">
        <v>46</v>
      </c>
      <c r="C42" s="35"/>
      <c r="D42" s="35"/>
      <c r="E42" s="117">
        <v>22</v>
      </c>
      <c r="F42" s="160" t="s">
        <v>58</v>
      </c>
      <c r="G42" s="159"/>
      <c r="H42" s="305"/>
      <c r="I42" s="304"/>
      <c r="J42" s="241"/>
    </row>
    <row r="43" spans="1:11" ht="12.75" customHeight="1">
      <c r="B43" s="21" t="s">
        <v>47</v>
      </c>
      <c r="C43" s="36"/>
      <c r="D43" s="36"/>
      <c r="E43" s="118">
        <v>2</v>
      </c>
      <c r="F43" s="161" t="s">
        <v>6</v>
      </c>
      <c r="G43" s="159"/>
      <c r="H43" s="299"/>
      <c r="I43" s="303"/>
      <c r="J43" s="241"/>
    </row>
    <row r="44" spans="1:11" ht="12.75" customHeight="1">
      <c r="B44" s="21" t="s">
        <v>48</v>
      </c>
      <c r="C44" s="36"/>
      <c r="D44" s="36"/>
      <c r="E44" s="118">
        <v>1</v>
      </c>
      <c r="F44" s="161" t="s">
        <v>6</v>
      </c>
      <c r="G44" s="159"/>
      <c r="H44" s="299"/>
      <c r="I44" s="303"/>
      <c r="J44" s="241"/>
    </row>
    <row r="45" spans="1:11" ht="12.75" customHeight="1">
      <c r="B45" s="21" t="s">
        <v>49</v>
      </c>
      <c r="C45" s="36"/>
      <c r="D45" s="36"/>
      <c r="E45" s="118">
        <v>2</v>
      </c>
      <c r="F45" s="161" t="s">
        <v>6</v>
      </c>
      <c r="G45" s="159"/>
      <c r="H45" s="299"/>
      <c r="I45" s="303"/>
      <c r="J45" s="241"/>
    </row>
    <row r="46" spans="1:11" ht="4.5" customHeight="1">
      <c r="A46" s="19"/>
      <c r="B46" s="19"/>
      <c r="E46" s="162"/>
      <c r="F46" s="162"/>
      <c r="G46" s="162"/>
      <c r="H46" s="305"/>
      <c r="I46" s="304"/>
      <c r="J46" s="241"/>
    </row>
    <row r="47" spans="1:11" ht="12.75" customHeight="1">
      <c r="B47" s="553"/>
      <c r="C47" s="36" t="s">
        <v>204</v>
      </c>
      <c r="D47" s="36"/>
      <c r="E47" s="118">
        <v>0</v>
      </c>
      <c r="F47" s="161" t="s">
        <v>240</v>
      </c>
      <c r="G47" s="159"/>
      <c r="H47" s="302"/>
      <c r="I47" s="301"/>
      <c r="J47" s="241"/>
    </row>
    <row r="48" spans="1:11" ht="12.75" customHeight="1">
      <c r="B48" s="553"/>
      <c r="C48" s="36" t="s">
        <v>166</v>
      </c>
      <c r="D48" s="36"/>
      <c r="E48" s="118">
        <v>0</v>
      </c>
      <c r="F48" s="161" t="s">
        <v>240</v>
      </c>
      <c r="G48" s="159"/>
      <c r="H48" s="299"/>
      <c r="I48" s="298"/>
      <c r="J48" s="241"/>
    </row>
    <row r="49" spans="1:10" ht="12.75" customHeight="1">
      <c r="B49" s="553"/>
      <c r="C49" s="36" t="s">
        <v>165</v>
      </c>
      <c r="D49" s="36"/>
      <c r="E49" s="118">
        <v>0</v>
      </c>
      <c r="F49" s="161" t="s">
        <v>240</v>
      </c>
      <c r="G49" s="159"/>
      <c r="H49" s="299"/>
      <c r="I49" s="298"/>
      <c r="J49" s="241"/>
    </row>
    <row r="50" spans="1:10" ht="3.95" customHeight="1">
      <c r="B50" s="19"/>
      <c r="C50" s="532"/>
      <c r="D50" s="532"/>
      <c r="E50" s="606"/>
      <c r="F50" s="533"/>
      <c r="G50" s="241"/>
      <c r="I50" s="238"/>
      <c r="J50" s="241"/>
    </row>
    <row r="51" spans="1:10" ht="12.75" customHeight="1">
      <c r="B51" s="19" t="s">
        <v>45</v>
      </c>
      <c r="C51" s="163"/>
      <c r="D51" s="164"/>
      <c r="E51" s="182">
        <f>SUM(E42:E49)</f>
        <v>27</v>
      </c>
      <c r="F51" s="164"/>
      <c r="G51" s="164"/>
      <c r="I51" s="238"/>
      <c r="J51" s="1"/>
    </row>
    <row r="52" spans="1:10" ht="3.95" customHeight="1">
      <c r="B52" s="19"/>
      <c r="C52" s="164"/>
      <c r="D52" s="164"/>
      <c r="E52" s="164"/>
      <c r="F52" s="164"/>
      <c r="G52" s="164"/>
      <c r="I52" s="238"/>
      <c r="J52" s="1"/>
    </row>
    <row r="53" spans="1:10" ht="12.95" customHeight="1">
      <c r="A53" s="157" t="s">
        <v>15</v>
      </c>
      <c r="B53" s="157"/>
      <c r="C53" s="156"/>
      <c r="D53" s="156"/>
      <c r="E53" s="156"/>
      <c r="F53" s="156"/>
      <c r="G53" s="156"/>
      <c r="H53" s="251"/>
      <c r="I53" s="1"/>
    </row>
    <row r="54" spans="1:10" ht="4.5" customHeight="1">
      <c r="A54" s="157"/>
      <c r="B54" s="157"/>
      <c r="C54" s="157"/>
      <c r="I54" s="1"/>
    </row>
    <row r="55" spans="1:10" ht="12.75" customHeight="1">
      <c r="A55" s="166" t="s">
        <v>11</v>
      </c>
      <c r="B55" s="166"/>
      <c r="E55" s="195">
        <f>I36</f>
        <v>580000</v>
      </c>
      <c r="I55" s="1"/>
    </row>
    <row r="56" spans="1:10" ht="3.95" customHeight="1">
      <c r="A56" s="19"/>
      <c r="B56" s="19"/>
      <c r="C56" s="19"/>
      <c r="D56" s="19"/>
      <c r="E56" s="163"/>
      <c r="I56"/>
    </row>
    <row r="57" spans="1:10" ht="12.75" customHeight="1">
      <c r="A57" s="19" t="s">
        <v>74</v>
      </c>
      <c r="B57" s="19"/>
      <c r="E57" s="100">
        <f>0.03*E51+0.73</f>
        <v>1.54</v>
      </c>
      <c r="F57" s="661" t="str">
        <f>IF(I36&lt;50000,"! gemäß TA.9 (3): Ist die Bemessungsgrundlage niedriger als 50.000 €, sollte der Ermittlungsweg über Abschätzung des Büro- / Personalaufwandes gewählt werden","")</f>
        <v/>
      </c>
      <c r="G57" s="661"/>
      <c r="H57" s="661"/>
      <c r="I57" s="661"/>
    </row>
    <row r="58" spans="1:10" ht="3.95" customHeight="1">
      <c r="A58" s="19"/>
      <c r="B58" s="19"/>
      <c r="E58" s="29"/>
      <c r="F58" s="661"/>
      <c r="G58" s="661"/>
      <c r="H58" s="661"/>
      <c r="I58" s="661"/>
    </row>
    <row r="59" spans="1:10" ht="12.75" customHeight="1">
      <c r="A59" s="19" t="s">
        <v>76</v>
      </c>
      <c r="B59" s="19"/>
      <c r="E59" s="544">
        <f>ROUND(IF(E55&lt;2000000,202*E55^(-0.2248)*E57/100,(37.8*E55^(-0.109)*E57/100)),6)</f>
        <v>0.15748999999999999</v>
      </c>
      <c r="F59" s="661"/>
      <c r="G59" s="661"/>
      <c r="H59" s="661"/>
      <c r="I59" s="661"/>
    </row>
    <row r="60" spans="1:10" ht="15.95" customHeight="1">
      <c r="A60" s="24" t="s">
        <v>85</v>
      </c>
      <c r="B60" s="24"/>
      <c r="E60" s="513">
        <f>202*E55^(-0.2248)*E57/100</f>
        <v>0.15748999999999999</v>
      </c>
      <c r="F60" s="545" t="str">
        <f>IF(E55&lt;2000000,"(PL + ÖBA)","")</f>
        <v>(PL + ÖBA)</v>
      </c>
      <c r="G60" s="545"/>
      <c r="I60"/>
    </row>
    <row r="61" spans="1:10" ht="15.95" customHeight="1">
      <c r="A61" s="24" t="s">
        <v>86</v>
      </c>
      <c r="B61" s="24"/>
      <c r="C61" s="24"/>
      <c r="E61" s="513">
        <f>37.8*E55^(-0.109)*E57/100</f>
        <v>0.13702500000000001</v>
      </c>
      <c r="F61" s="207" t="str">
        <f>IF(E55&gt;1999999.99,"(PL + ÖBA)","")</f>
        <v/>
      </c>
      <c r="G61" s="207"/>
      <c r="I61"/>
    </row>
    <row r="62" spans="1:10" ht="13.5" customHeight="1">
      <c r="A62" s="24" t="s">
        <v>140</v>
      </c>
      <c r="B62" s="24"/>
      <c r="C62" s="24"/>
      <c r="E62" s="257">
        <v>0</v>
      </c>
      <c r="F62" s="207"/>
      <c r="H62" s="1"/>
      <c r="I62"/>
    </row>
    <row r="63" spans="1:10" ht="2.1" customHeight="1">
      <c r="A63" s="19"/>
      <c r="B63" s="19"/>
      <c r="E63" s="167"/>
      <c r="F63" s="167"/>
      <c r="G63" s="167"/>
      <c r="H63" s="1"/>
      <c r="I63"/>
    </row>
    <row r="64" spans="1:10" ht="15" customHeight="1">
      <c r="A64" s="22" t="s">
        <v>230</v>
      </c>
      <c r="B64" s="20"/>
      <c r="C64" s="168"/>
      <c r="D64" s="168"/>
      <c r="E64" s="169"/>
      <c r="F64" s="470">
        <f>E55*E59*(1+E62)</f>
        <v>91344</v>
      </c>
      <c r="G64" s="207"/>
      <c r="I64" s="1"/>
    </row>
    <row r="65" spans="1:11" ht="12.95" customHeight="1">
      <c r="A65" s="24"/>
      <c r="B65" s="19"/>
      <c r="C65" s="156"/>
      <c r="D65" s="275" t="s">
        <v>147</v>
      </c>
      <c r="E65" s="270" t="s">
        <v>5</v>
      </c>
      <c r="F65" s="170"/>
      <c r="G65" s="560"/>
      <c r="H65" s="158"/>
      <c r="I65" s="30"/>
    </row>
    <row r="66" spans="1:11" ht="12.75" customHeight="1">
      <c r="A66" s="156" t="s">
        <v>53</v>
      </c>
      <c r="B66" s="156"/>
      <c r="D66" s="271">
        <v>0.02</v>
      </c>
      <c r="E66" s="222">
        <v>0.02</v>
      </c>
      <c r="F66" s="177">
        <f t="shared" ref="F66:F75" si="1">$F$64*E66</f>
        <v>1827</v>
      </c>
      <c r="G66" s="295"/>
      <c r="H66" s="561"/>
      <c r="I66" s="177"/>
    </row>
    <row r="67" spans="1:11" ht="12.75" customHeight="1">
      <c r="A67" s="156" t="s">
        <v>35</v>
      </c>
      <c r="B67" s="156"/>
      <c r="D67" s="271">
        <v>0.09</v>
      </c>
      <c r="E67" s="223">
        <v>0.09</v>
      </c>
      <c r="F67" s="177">
        <f t="shared" si="1"/>
        <v>8221</v>
      </c>
      <c r="G67" s="294"/>
      <c r="H67" s="562"/>
      <c r="I67" s="177"/>
    </row>
    <row r="68" spans="1:11" ht="12.75" customHeight="1">
      <c r="A68" s="156" t="s">
        <v>36</v>
      </c>
      <c r="B68" s="156"/>
      <c r="D68" s="271">
        <v>0.16</v>
      </c>
      <c r="E68" s="223">
        <v>0.16</v>
      </c>
      <c r="F68" s="177">
        <f t="shared" si="1"/>
        <v>14615</v>
      </c>
      <c r="G68" s="294"/>
      <c r="H68" s="562"/>
      <c r="I68" s="177"/>
    </row>
    <row r="69" spans="1:11" ht="12.75" customHeight="1">
      <c r="A69" s="156" t="s">
        <v>37</v>
      </c>
      <c r="B69" s="156"/>
      <c r="D69" s="271">
        <v>0.05</v>
      </c>
      <c r="E69" s="223">
        <v>0.05</v>
      </c>
      <c r="F69" s="177">
        <f t="shared" si="1"/>
        <v>4567</v>
      </c>
      <c r="G69" s="294"/>
      <c r="H69" s="562"/>
      <c r="I69" s="177"/>
      <c r="K69" s="1" t="s">
        <v>87</v>
      </c>
    </row>
    <row r="70" spans="1:11" ht="12.75" customHeight="1">
      <c r="A70" s="156" t="s">
        <v>38</v>
      </c>
      <c r="B70" s="156"/>
      <c r="D70" s="271">
        <v>0.2</v>
      </c>
      <c r="E70" s="223">
        <v>0.2</v>
      </c>
      <c r="F70" s="177">
        <f t="shared" si="1"/>
        <v>18269</v>
      </c>
      <c r="G70" s="294"/>
      <c r="H70" s="562"/>
      <c r="I70" s="177"/>
    </row>
    <row r="71" spans="1:11" ht="12.75" customHeight="1">
      <c r="A71" s="156" t="s">
        <v>39</v>
      </c>
      <c r="B71" s="156"/>
      <c r="D71" s="271">
        <v>0.05</v>
      </c>
      <c r="E71" s="223">
        <v>0.05</v>
      </c>
      <c r="F71" s="177">
        <f t="shared" si="1"/>
        <v>4567</v>
      </c>
      <c r="G71" s="295"/>
      <c r="H71" s="561"/>
      <c r="I71" s="177"/>
    </row>
    <row r="72" spans="1:11" ht="12.75" customHeight="1">
      <c r="A72" s="156" t="s">
        <v>61</v>
      </c>
      <c r="B72" s="156"/>
      <c r="D72" s="271">
        <v>0.02</v>
      </c>
      <c r="E72" s="223">
        <v>0.02</v>
      </c>
      <c r="F72" s="177">
        <f t="shared" si="1"/>
        <v>1827</v>
      </c>
      <c r="G72" s="294"/>
      <c r="H72" s="562"/>
      <c r="I72" s="177"/>
    </row>
    <row r="73" spans="1:11" ht="12.75" customHeight="1">
      <c r="A73" s="156" t="s">
        <v>54</v>
      </c>
      <c r="B73" s="156"/>
      <c r="D73" s="271">
        <v>0.04</v>
      </c>
      <c r="E73" s="223">
        <v>0.04</v>
      </c>
      <c r="F73" s="177">
        <f t="shared" si="1"/>
        <v>3654</v>
      </c>
      <c r="G73" s="294"/>
      <c r="H73" s="562"/>
      <c r="I73" s="177"/>
    </row>
    <row r="74" spans="1:11" ht="12.75" customHeight="1">
      <c r="A74" s="156" t="s">
        <v>75</v>
      </c>
      <c r="B74" s="156"/>
      <c r="D74" s="271">
        <v>0.35</v>
      </c>
      <c r="E74" s="223">
        <v>0.35</v>
      </c>
      <c r="F74" s="177">
        <f t="shared" si="1"/>
        <v>31970</v>
      </c>
      <c r="G74" s="294"/>
      <c r="H74" s="562"/>
      <c r="I74" s="177"/>
    </row>
    <row r="75" spans="1:11" ht="12.75" customHeight="1">
      <c r="A75" s="168" t="s">
        <v>55</v>
      </c>
      <c r="B75" s="168"/>
      <c r="C75" s="35"/>
      <c r="D75" s="272">
        <v>0.02</v>
      </c>
      <c r="E75" s="224">
        <v>0.02</v>
      </c>
      <c r="F75" s="178">
        <f t="shared" si="1"/>
        <v>1827</v>
      </c>
      <c r="G75" s="293"/>
      <c r="H75" s="563"/>
      <c r="I75" s="178"/>
    </row>
    <row r="76" spans="1:11" s="16" customFormat="1" ht="18.600000000000001" customHeight="1">
      <c r="A76" s="292" t="s">
        <v>44</v>
      </c>
      <c r="B76" s="417"/>
      <c r="D76" s="621">
        <f>SUM(D66:D75)</f>
        <v>1</v>
      </c>
      <c r="E76" s="289">
        <f>SUM(E66:E75)</f>
        <v>1</v>
      </c>
      <c r="F76" s="420">
        <f>SUM(F66:F75)</f>
        <v>91344</v>
      </c>
      <c r="G76" s="288"/>
      <c r="H76" s="289"/>
      <c r="I76" s="420"/>
      <c r="J76" s="515"/>
    </row>
    <row r="77" spans="1:11" ht="12.75" customHeight="1">
      <c r="A77" s="534" t="s">
        <v>218</v>
      </c>
      <c r="B77" s="171"/>
      <c r="D77" s="535">
        <v>0.02</v>
      </c>
      <c r="E77" s="222">
        <v>0</v>
      </c>
      <c r="F77" s="177">
        <f t="shared" ref="F77:F84" si="2">$F$64*E77</f>
        <v>0</v>
      </c>
      <c r="G77" s="172"/>
      <c r="H77" s="177"/>
      <c r="I77" s="91"/>
    </row>
    <row r="78" spans="1:11" ht="12.75" customHeight="1">
      <c r="A78" s="534" t="s">
        <v>187</v>
      </c>
      <c r="B78" s="171"/>
      <c r="D78" s="535">
        <v>1.4999999999999999E-2</v>
      </c>
      <c r="E78" s="223">
        <v>0</v>
      </c>
      <c r="F78" s="177">
        <f t="shared" si="2"/>
        <v>0</v>
      </c>
      <c r="G78" s="172"/>
      <c r="H78" s="177"/>
      <c r="I78" s="91"/>
    </row>
    <row r="79" spans="1:11" ht="12.75" customHeight="1">
      <c r="A79" s="534" t="s">
        <v>219</v>
      </c>
      <c r="B79" s="171"/>
      <c r="D79" s="535">
        <v>2.5000000000000001E-2</v>
      </c>
      <c r="E79" s="223">
        <v>0</v>
      </c>
      <c r="F79" s="177">
        <f t="shared" si="2"/>
        <v>0</v>
      </c>
      <c r="G79" s="172"/>
      <c r="H79" s="177"/>
      <c r="I79" s="91"/>
    </row>
    <row r="80" spans="1:11" ht="12.75" customHeight="1">
      <c r="A80" s="534" t="s">
        <v>220</v>
      </c>
      <c r="B80" s="171"/>
      <c r="D80" s="535">
        <v>0.03</v>
      </c>
      <c r="E80" s="473">
        <v>0</v>
      </c>
      <c r="F80" s="177">
        <f t="shared" si="2"/>
        <v>0</v>
      </c>
      <c r="G80" s="172"/>
      <c r="H80" s="177"/>
      <c r="I80" s="91"/>
    </row>
    <row r="81" spans="1:13" ht="12.75" customHeight="1">
      <c r="A81" s="534" t="s">
        <v>222</v>
      </c>
      <c r="B81" s="171"/>
      <c r="D81" s="535">
        <v>0.02</v>
      </c>
      <c r="E81" s="471">
        <v>0</v>
      </c>
      <c r="F81" s="177">
        <f t="shared" si="2"/>
        <v>0</v>
      </c>
      <c r="G81" s="172"/>
      <c r="H81" s="177"/>
      <c r="I81" s="91"/>
    </row>
    <row r="82" spans="1:13" ht="12.75" customHeight="1">
      <c r="A82" s="534" t="s">
        <v>224</v>
      </c>
      <c r="B82" s="171"/>
      <c r="D82" s="295">
        <v>0.01</v>
      </c>
      <c r="E82" s="471">
        <v>0</v>
      </c>
      <c r="F82" s="177">
        <f t="shared" si="2"/>
        <v>0</v>
      </c>
      <c r="G82" s="172"/>
      <c r="H82" s="177"/>
      <c r="I82" s="91"/>
    </row>
    <row r="83" spans="1:13" ht="13.5" customHeight="1">
      <c r="A83" s="632" t="s">
        <v>250</v>
      </c>
      <c r="B83" s="171"/>
      <c r="D83" s="295">
        <v>0.01</v>
      </c>
      <c r="E83" s="471">
        <v>0</v>
      </c>
      <c r="F83" s="177">
        <f t="shared" si="2"/>
        <v>0</v>
      </c>
      <c r="G83" s="172"/>
      <c r="H83" s="177"/>
      <c r="I83" s="91"/>
    </row>
    <row r="84" spans="1:13" ht="12.75" customHeight="1">
      <c r="A84" s="634" t="s">
        <v>257</v>
      </c>
      <c r="B84" s="174"/>
      <c r="C84" s="35"/>
      <c r="D84" s="493">
        <v>0.04</v>
      </c>
      <c r="E84" s="224">
        <v>0</v>
      </c>
      <c r="F84" s="178">
        <f t="shared" si="2"/>
        <v>0</v>
      </c>
      <c r="G84" s="600"/>
      <c r="H84" s="178"/>
      <c r="I84" s="603"/>
      <c r="J84" s="1"/>
    </row>
    <row r="85" spans="1:13" ht="12.75" customHeight="1">
      <c r="A85" s="644" t="s">
        <v>251</v>
      </c>
      <c r="B85" s="644"/>
      <c r="C85" s="644"/>
      <c r="D85" s="622">
        <f>SUM(D76:D84)</f>
        <v>1.17</v>
      </c>
      <c r="E85" s="172">
        <f>SUM(E76:E84)</f>
        <v>1</v>
      </c>
      <c r="F85" s="288">
        <f>F76+SUM(F77:F84)</f>
        <v>91344</v>
      </c>
      <c r="H85" s="172"/>
      <c r="I85" s="546">
        <f>F85</f>
        <v>91344</v>
      </c>
      <c r="J85" s="1"/>
      <c r="K85" s="9"/>
    </row>
    <row r="86" spans="1:13" ht="12.75" customHeight="1">
      <c r="A86" s="175"/>
      <c r="B86" s="19"/>
      <c r="D86" s="172"/>
      <c r="E86" s="172"/>
      <c r="F86" s="179"/>
      <c r="G86" s="8"/>
      <c r="I86" s="356"/>
      <c r="J86" s="1"/>
    </row>
    <row r="87" spans="1:13" ht="12.75" customHeight="1">
      <c r="A87" s="33" t="s">
        <v>123</v>
      </c>
      <c r="E87" s="357">
        <v>0</v>
      </c>
      <c r="F87" s="229">
        <v>0</v>
      </c>
      <c r="G87" s="8"/>
      <c r="I87" s="91">
        <f>E87*F87</f>
        <v>0</v>
      </c>
      <c r="K87"/>
      <c r="L87"/>
      <c r="M87"/>
    </row>
    <row r="88" spans="1:13" ht="3" customHeight="1">
      <c r="E88" s="108"/>
      <c r="I88"/>
    </row>
    <row r="89" spans="1:13" s="24" customFormat="1" ht="12.75">
      <c r="A89" s="94" t="s">
        <v>231</v>
      </c>
      <c r="B89" s="95"/>
      <c r="C89" s="96"/>
      <c r="D89" s="98"/>
      <c r="E89" s="109"/>
      <c r="F89" s="97"/>
      <c r="G89" s="97"/>
      <c r="H89" s="97"/>
      <c r="I89" s="99">
        <f>I85+I87</f>
        <v>91344</v>
      </c>
    </row>
    <row r="90" spans="1:13" s="24" customFormat="1" ht="3" customHeight="1">
      <c r="B90" s="25"/>
      <c r="C90" s="26"/>
      <c r="D90" s="47"/>
      <c r="E90" s="48"/>
      <c r="F90" s="48"/>
      <c r="G90" s="48"/>
      <c r="I90" s="91"/>
    </row>
    <row r="91" spans="1:13" s="24" customFormat="1" ht="12.75">
      <c r="A91" s="49" t="s">
        <v>13</v>
      </c>
      <c r="B91" s="25"/>
      <c r="C91" s="26"/>
      <c r="D91" s="47"/>
      <c r="E91" s="218">
        <v>0.04</v>
      </c>
      <c r="F91" s="48"/>
      <c r="G91" s="48"/>
      <c r="I91" s="91">
        <f>ROUND(I89*E91,2)</f>
        <v>3654</v>
      </c>
    </row>
    <row r="92" spans="1:13" s="24" customFormat="1" ht="3" customHeight="1">
      <c r="A92" s="50"/>
      <c r="B92" s="51"/>
      <c r="C92" s="52"/>
      <c r="D92" s="56"/>
      <c r="E92" s="219"/>
      <c r="F92" s="57"/>
      <c r="G92" s="57"/>
      <c r="H92" s="50"/>
      <c r="I92" s="93"/>
    </row>
    <row r="93" spans="1:13" s="24" customFormat="1" ht="3" customHeight="1">
      <c r="B93" s="25"/>
      <c r="C93" s="26"/>
      <c r="D93" s="58"/>
      <c r="E93" s="220"/>
      <c r="F93" s="65"/>
      <c r="G93" s="65"/>
      <c r="H93" s="59"/>
      <c r="I93" s="91"/>
    </row>
    <row r="94" spans="1:13" s="24" customFormat="1" ht="12.75">
      <c r="A94" s="53" t="s">
        <v>232</v>
      </c>
      <c r="B94" s="54"/>
      <c r="C94" s="55"/>
      <c r="D94" s="27"/>
      <c r="E94" s="217"/>
      <c r="F94" s="48"/>
      <c r="G94" s="48"/>
      <c r="I94" s="92">
        <f>I89+I91</f>
        <v>94998</v>
      </c>
    </row>
    <row r="95" spans="1:13" s="24" customFormat="1" ht="12.75">
      <c r="A95" s="24" t="s">
        <v>14</v>
      </c>
      <c r="B95" s="25"/>
      <c r="C95" s="26"/>
      <c r="D95" s="27"/>
      <c r="E95" s="28">
        <v>0.2</v>
      </c>
      <c r="F95" s="28"/>
      <c r="G95" s="28"/>
      <c r="I95" s="91">
        <f>ROUND(I94*E95,2)</f>
        <v>19000</v>
      </c>
    </row>
    <row r="96" spans="1:13" s="24" customFormat="1" ht="3" customHeight="1">
      <c r="B96" s="25"/>
      <c r="C96" s="26"/>
      <c r="D96" s="27"/>
      <c r="E96" s="48"/>
      <c r="F96" s="48"/>
      <c r="G96" s="48"/>
      <c r="I96" s="91"/>
    </row>
    <row r="97" spans="1:13" s="24" customFormat="1" ht="12.75">
      <c r="A97" s="184" t="s">
        <v>233</v>
      </c>
      <c r="B97" s="196"/>
      <c r="C97" s="185"/>
      <c r="D97" s="187"/>
      <c r="E97" s="188"/>
      <c r="F97" s="188"/>
      <c r="G97" s="188"/>
      <c r="H97" s="186"/>
      <c r="I97" s="189">
        <f>SUM(I93:I95)</f>
        <v>113998</v>
      </c>
    </row>
    <row r="98" spans="1:13" s="9" customFormat="1" ht="3" customHeight="1">
      <c r="A98" s="1"/>
      <c r="B98" s="7"/>
      <c r="C98" s="1"/>
      <c r="D98" s="1"/>
      <c r="E98" s="1"/>
      <c r="F98" s="1"/>
      <c r="G98" s="1"/>
      <c r="H98" s="8"/>
      <c r="K98" s="1"/>
      <c r="L98" s="1"/>
      <c r="M98" s="1"/>
    </row>
    <row r="99" spans="1:13" ht="12.75">
      <c r="A99" s="198" t="s">
        <v>106</v>
      </c>
      <c r="E99" s="255">
        <f>I94/E32</f>
        <v>3.339E-3</v>
      </c>
    </row>
  </sheetData>
  <sheetProtection algorithmName="SHA-512" hashValue="u4gXk8jII8zxSatXZrL0XDuxvH9UjIRsQSrVxG8C7wpP7Je8P7OODyIYYlp+aNfHgHgEXq5akgcu/tv1IRWyiA==" saltValue="OciitkCm/xAoTeldwzEvyw==" spinCount="100000" sheet="1" objects="1" scenarios="1"/>
  <mergeCells count="13">
    <mergeCell ref="A85:C85"/>
    <mergeCell ref="F57:I59"/>
    <mergeCell ref="H2:I2"/>
    <mergeCell ref="A6:B6"/>
    <mergeCell ref="A8:B8"/>
    <mergeCell ref="A10:B10"/>
    <mergeCell ref="A20:B20"/>
    <mergeCell ref="A22:B22"/>
    <mergeCell ref="A24:B24"/>
    <mergeCell ref="A26:B26"/>
    <mergeCell ref="A28:B28"/>
    <mergeCell ref="A30:B30"/>
    <mergeCell ref="H41:I41"/>
  </mergeCells>
  <conditionalFormatting sqref="E60">
    <cfRule type="expression" dxfId="1" priority="2" stopIfTrue="1">
      <formula>$E$55&gt;1999999.99</formula>
    </cfRule>
  </conditionalFormatting>
  <conditionalFormatting sqref="E61">
    <cfRule type="expression" dxfId="0" priority="1" stopIfTrue="1">
      <formula>$E$55&lt;2000000</formula>
    </cfRule>
  </conditionalFormatting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&amp;L&amp;"Arial,Fett"&amp;K01+021Angebot TA | Anlagengruppen aufgegliedert
&amp;"Arial,Standard"nach LM.VM.2023&amp;R&amp;"Arial,Standard"&amp;K01+022Version 1
Stand: 15.09.2023</oddHeader>
    <oddFooter>&amp;L&amp;"Arial,Fett"&amp;K01+030LM.VM.2023&amp;"Arial,Standard"  | &amp;A |  Angebotsformular&amp;R&amp;"Arial,Standard"&amp;K01+030&amp;P/&amp;N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1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41</xdr:row>
                    <xdr:rowOff>38100</xdr:rowOff>
                  </from>
                  <to>
                    <xdr:col>8</xdr:col>
                    <xdr:colOff>1009650</xdr:colOff>
                    <xdr:row>41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2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42</xdr:row>
                    <xdr:rowOff>28575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43</xdr:row>
                    <xdr:rowOff>28575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4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1009650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6" r:id="rId9" name="Scroll Bar 6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9DC5A-F65E-4429-B285-640EF9EA0859}">
  <sheetPr>
    <tabColor theme="6"/>
  </sheetPr>
  <dimension ref="A1:M94"/>
  <sheetViews>
    <sheetView showGridLines="0" zoomScaleNormal="100" zoomScaleSheetLayoutView="85" workbookViewId="0">
      <selection activeCell="H2" sqref="H2:I2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48" t="s">
        <v>252</v>
      </c>
      <c r="I2" s="648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0" customFormat="1" ht="6" customHeight="1">
      <c r="E6" s="67"/>
      <c r="I6" s="2"/>
      <c r="J6" s="2"/>
    </row>
    <row r="7" spans="1:10" s="11" customFormat="1" ht="12.95" customHeight="1">
      <c r="A7" s="645">
        <v>1</v>
      </c>
      <c r="B7" s="645"/>
      <c r="C7" s="76" t="s">
        <v>0</v>
      </c>
      <c r="D7" s="135">
        <f>E7/$E$36</f>
        <v>1E-3</v>
      </c>
      <c r="E7" s="607">
        <f>_1</f>
        <v>15000</v>
      </c>
      <c r="F7" s="72"/>
      <c r="G7" s="72"/>
      <c r="H7" s="333">
        <v>0</v>
      </c>
      <c r="I7" s="324">
        <f>E7*H7</f>
        <v>0</v>
      </c>
      <c r="J7" s="34"/>
    </row>
    <row r="8" spans="1:10" ht="3.95" customHeight="1">
      <c r="B8" s="4"/>
      <c r="D8" s="136"/>
      <c r="E8" s="608"/>
      <c r="F8" s="110"/>
      <c r="G8" s="110"/>
      <c r="H8" s="335"/>
      <c r="I8" s="237"/>
      <c r="J8" s="44"/>
    </row>
    <row r="9" spans="1:10" s="11" customFormat="1" ht="12.95" customHeight="1">
      <c r="A9" s="645">
        <v>2</v>
      </c>
      <c r="B9" s="645"/>
      <c r="C9" s="76" t="s">
        <v>1</v>
      </c>
      <c r="D9" s="135">
        <f>E9/$E$36</f>
        <v>0.316</v>
      </c>
      <c r="E9" s="607">
        <f>_2</f>
        <v>9000000</v>
      </c>
      <c r="F9" s="72"/>
      <c r="G9" s="72"/>
      <c r="H9" s="351">
        <v>1</v>
      </c>
      <c r="I9" s="324">
        <f>E9*H9</f>
        <v>9000000</v>
      </c>
      <c r="J9" s="34"/>
    </row>
    <row r="10" spans="1:10" ht="3.95" customHeight="1">
      <c r="D10" s="136"/>
      <c r="E10" s="609"/>
      <c r="F10" s="110"/>
      <c r="G10" s="110"/>
      <c r="H10" s="335"/>
      <c r="I10" s="317"/>
      <c r="J10" s="34"/>
    </row>
    <row r="11" spans="1:10" s="10" customFormat="1" ht="12.75" customHeight="1">
      <c r="A11" s="645">
        <v>3</v>
      </c>
      <c r="B11" s="645"/>
      <c r="C11" s="76" t="s">
        <v>7</v>
      </c>
      <c r="D11" s="135">
        <f>E11/$E$36</f>
        <v>0.19900000000000001</v>
      </c>
      <c r="E11" s="610">
        <f>_3</f>
        <v>5650000</v>
      </c>
      <c r="F11" s="72"/>
      <c r="G11" s="72"/>
      <c r="H11" s="335"/>
      <c r="I11" s="317"/>
      <c r="J11" s="34"/>
    </row>
    <row r="12" spans="1:10" ht="12.95" customHeight="1">
      <c r="A12" s="506">
        <v>3</v>
      </c>
      <c r="B12" s="341" t="s">
        <v>17</v>
      </c>
      <c r="C12" s="342" t="s">
        <v>18</v>
      </c>
      <c r="D12" s="137"/>
      <c r="E12" s="611">
        <f>_3.01</f>
        <v>900000</v>
      </c>
      <c r="F12" s="72"/>
      <c r="G12" s="72"/>
      <c r="H12" s="351">
        <v>1</v>
      </c>
      <c r="I12" s="329">
        <f t="shared" ref="I12:I19" si="0">E12*H12</f>
        <v>900000</v>
      </c>
      <c r="J12" s="34"/>
    </row>
    <row r="13" spans="1:10" ht="12.95" customHeight="1">
      <c r="A13" s="507">
        <v>3</v>
      </c>
      <c r="B13" s="344" t="s">
        <v>19</v>
      </c>
      <c r="C13" s="345" t="s">
        <v>26</v>
      </c>
      <c r="D13" s="138"/>
      <c r="E13" s="611">
        <f>_3.02</f>
        <v>1200000</v>
      </c>
      <c r="F13" s="72"/>
      <c r="G13" s="72"/>
      <c r="H13" s="351">
        <v>1</v>
      </c>
      <c r="I13" s="311">
        <f t="shared" si="0"/>
        <v>1200000</v>
      </c>
      <c r="J13" s="34"/>
    </row>
    <row r="14" spans="1:10" ht="12.95" customHeight="1">
      <c r="A14" s="507">
        <v>3</v>
      </c>
      <c r="B14" s="344" t="s">
        <v>20</v>
      </c>
      <c r="C14" s="345" t="s">
        <v>27</v>
      </c>
      <c r="D14" s="138"/>
      <c r="E14" s="611">
        <f>_3.03</f>
        <v>1000000</v>
      </c>
      <c r="F14" s="72"/>
      <c r="G14" s="72"/>
      <c r="H14" s="351">
        <v>1</v>
      </c>
      <c r="I14" s="311">
        <f t="shared" si="0"/>
        <v>1000000</v>
      </c>
      <c r="J14" s="34"/>
    </row>
    <row r="15" spans="1:10" ht="12.95" customHeight="1">
      <c r="A15" s="507">
        <v>3</v>
      </c>
      <c r="B15" s="344" t="s">
        <v>21</v>
      </c>
      <c r="C15" s="345" t="s">
        <v>28</v>
      </c>
      <c r="D15" s="138"/>
      <c r="E15" s="611">
        <f>_3.04</f>
        <v>1500000</v>
      </c>
      <c r="F15" s="72"/>
      <c r="G15" s="72"/>
      <c r="H15" s="351">
        <v>1</v>
      </c>
      <c r="I15" s="311">
        <f t="shared" si="0"/>
        <v>1500000</v>
      </c>
      <c r="J15" s="34"/>
    </row>
    <row r="16" spans="1:10" ht="12.95" customHeight="1">
      <c r="A16" s="507">
        <v>3</v>
      </c>
      <c r="B16" s="344" t="s">
        <v>22</v>
      </c>
      <c r="C16" s="345" t="s">
        <v>31</v>
      </c>
      <c r="D16" s="138"/>
      <c r="E16" s="611">
        <f>_3.05</f>
        <v>600000</v>
      </c>
      <c r="F16" s="72"/>
      <c r="G16" s="72"/>
      <c r="H16" s="351">
        <v>1</v>
      </c>
      <c r="I16" s="311">
        <f t="shared" si="0"/>
        <v>600000</v>
      </c>
      <c r="J16" s="34"/>
    </row>
    <row r="17" spans="1:13" ht="12.95" customHeight="1">
      <c r="A17" s="507">
        <v>3</v>
      </c>
      <c r="B17" s="344" t="s">
        <v>23</v>
      </c>
      <c r="C17" s="345" t="s">
        <v>29</v>
      </c>
      <c r="D17" s="138"/>
      <c r="E17" s="611">
        <f>_3.06</f>
        <v>150000</v>
      </c>
      <c r="F17" s="72"/>
      <c r="G17" s="72"/>
      <c r="H17" s="351">
        <v>1</v>
      </c>
      <c r="I17" s="311">
        <f t="shared" si="0"/>
        <v>150000</v>
      </c>
      <c r="J17" s="34"/>
    </row>
    <row r="18" spans="1:13" ht="12.95" customHeight="1">
      <c r="A18" s="507">
        <v>3</v>
      </c>
      <c r="B18" s="344" t="s">
        <v>24</v>
      </c>
      <c r="C18" s="345" t="s">
        <v>30</v>
      </c>
      <c r="D18" s="138"/>
      <c r="E18" s="611">
        <f>_3.07</f>
        <v>0</v>
      </c>
      <c r="F18" s="72"/>
      <c r="G18" s="72"/>
      <c r="H18" s="351">
        <v>0</v>
      </c>
      <c r="I18" s="311">
        <f t="shared" si="0"/>
        <v>0</v>
      </c>
      <c r="J18" s="34"/>
    </row>
    <row r="19" spans="1:13" ht="12.95" customHeight="1">
      <c r="A19" s="507">
        <v>3</v>
      </c>
      <c r="B19" s="344" t="s">
        <v>25</v>
      </c>
      <c r="C19" s="345" t="s">
        <v>8</v>
      </c>
      <c r="D19" s="138"/>
      <c r="E19" s="611">
        <f>_3.08</f>
        <v>300000</v>
      </c>
      <c r="F19" s="72"/>
      <c r="G19" s="72"/>
      <c r="H19" s="351">
        <v>1</v>
      </c>
      <c r="I19" s="330">
        <f t="shared" si="0"/>
        <v>300000</v>
      </c>
      <c r="J19" s="34"/>
    </row>
    <row r="20" spans="1:13" ht="3.95" customHeight="1">
      <c r="D20" s="136"/>
      <c r="E20" s="612"/>
      <c r="F20" s="110"/>
      <c r="G20" s="110"/>
      <c r="H20" s="347"/>
      <c r="I20" s="317"/>
      <c r="J20" s="151"/>
    </row>
    <row r="21" spans="1:13" s="10" customFormat="1" ht="12.75" customHeight="1">
      <c r="A21" s="645">
        <v>4</v>
      </c>
      <c r="B21" s="645"/>
      <c r="C21" s="76" t="s">
        <v>2</v>
      </c>
      <c r="D21" s="135">
        <f>E21/$E$36</f>
        <v>0.21099999999999999</v>
      </c>
      <c r="E21" s="607">
        <f>_4</f>
        <v>6000000</v>
      </c>
      <c r="F21" s="72"/>
      <c r="G21" s="72"/>
      <c r="H21" s="351">
        <v>1</v>
      </c>
      <c r="I21" s="324">
        <f>E21*H21</f>
        <v>6000000</v>
      </c>
      <c r="J21" s="34"/>
    </row>
    <row r="22" spans="1:13" ht="3.95" customHeight="1">
      <c r="B22" s="4"/>
      <c r="D22" s="136"/>
      <c r="E22" s="612"/>
      <c r="F22" s="110"/>
      <c r="G22" s="110"/>
      <c r="H22" s="335"/>
      <c r="I22" s="317"/>
      <c r="J22" s="33"/>
    </row>
    <row r="23" spans="1:13" s="11" customFormat="1" ht="12.95" customHeight="1">
      <c r="A23" s="645">
        <v>5</v>
      </c>
      <c r="B23" s="645"/>
      <c r="C23" s="76" t="s">
        <v>9</v>
      </c>
      <c r="D23" s="135">
        <f>E23/$E$36</f>
        <v>5.8000000000000003E-2</v>
      </c>
      <c r="E23" s="610">
        <f>_5</f>
        <v>1650000</v>
      </c>
      <c r="F23" s="72"/>
      <c r="G23" s="72"/>
      <c r="H23" s="335"/>
      <c r="I23" s="332"/>
      <c r="J23" s="34"/>
    </row>
    <row r="24" spans="1:13" ht="12.95" customHeight="1">
      <c r="A24" s="506">
        <v>5</v>
      </c>
      <c r="B24" s="348" t="s">
        <v>17</v>
      </c>
      <c r="C24" s="342" t="s">
        <v>126</v>
      </c>
      <c r="D24" s="137"/>
      <c r="E24" s="613">
        <f>_5.01</f>
        <v>600000</v>
      </c>
      <c r="F24" s="72"/>
      <c r="G24" s="72"/>
      <c r="H24" s="351">
        <v>1</v>
      </c>
      <c r="I24" s="311">
        <f>H24*E24</f>
        <v>600000</v>
      </c>
      <c r="J24" s="34"/>
      <c r="K24"/>
      <c r="L24"/>
      <c r="M24"/>
    </row>
    <row r="25" spans="1:13" ht="12.95" customHeight="1">
      <c r="A25" s="343">
        <v>5</v>
      </c>
      <c r="B25" s="349" t="s">
        <v>19</v>
      </c>
      <c r="C25" s="350" t="s">
        <v>127</v>
      </c>
      <c r="D25" s="247"/>
      <c r="E25" s="614">
        <f>_5.02</f>
        <v>1000000</v>
      </c>
      <c r="F25" s="72"/>
      <c r="G25" s="72"/>
      <c r="H25" s="351">
        <v>0.6</v>
      </c>
      <c r="I25" s="311">
        <f>E25*H25</f>
        <v>600000</v>
      </c>
      <c r="J25" s="34"/>
      <c r="K25"/>
      <c r="L25"/>
      <c r="M25"/>
    </row>
    <row r="26" spans="1:13" ht="12.95" customHeight="1">
      <c r="A26" s="343">
        <v>5</v>
      </c>
      <c r="B26" s="349" t="s">
        <v>20</v>
      </c>
      <c r="C26" s="345" t="s">
        <v>52</v>
      </c>
      <c r="D26" s="138"/>
      <c r="E26" s="615">
        <f>_5.03</f>
        <v>50000</v>
      </c>
      <c r="F26" s="2"/>
      <c r="G26" s="2"/>
      <c r="H26" s="351">
        <v>0</v>
      </c>
      <c r="I26" s="311">
        <f>E26*H26</f>
        <v>0</v>
      </c>
      <c r="J26" s="34"/>
      <c r="K26"/>
      <c r="L26"/>
      <c r="M26"/>
    </row>
    <row r="27" spans="1:13" ht="3.95" customHeight="1">
      <c r="D27" s="136"/>
      <c r="E27" s="612"/>
      <c r="F27" s="110"/>
      <c r="G27" s="110"/>
      <c r="H27" s="335"/>
      <c r="I27" s="317"/>
      <c r="J27" s="34"/>
    </row>
    <row r="28" spans="1:13" s="10" customFormat="1" ht="12.95" customHeight="1">
      <c r="A28" s="645">
        <v>6</v>
      </c>
      <c r="B28" s="645"/>
      <c r="C28" s="76" t="s">
        <v>3</v>
      </c>
      <c r="D28" s="135">
        <f>E28/$E$36</f>
        <v>1.7999999999999999E-2</v>
      </c>
      <c r="E28" s="607">
        <f>_6</f>
        <v>500000</v>
      </c>
      <c r="F28" s="72"/>
      <c r="G28" s="72"/>
      <c r="H28" s="351">
        <v>0</v>
      </c>
      <c r="I28" s="324">
        <f>E28*H28</f>
        <v>0</v>
      </c>
      <c r="J28" s="34"/>
    </row>
    <row r="29" spans="1:13" ht="3.95" customHeight="1">
      <c r="B29" s="13"/>
      <c r="D29" s="139"/>
      <c r="E29" s="612"/>
      <c r="F29" s="110"/>
      <c r="G29" s="110"/>
      <c r="H29" s="335"/>
      <c r="I29" s="317"/>
      <c r="J29" s="34"/>
    </row>
    <row r="30" spans="1:13" s="11" customFormat="1" ht="12.95" customHeight="1">
      <c r="A30" s="645">
        <v>7</v>
      </c>
      <c r="B30" s="645"/>
      <c r="C30" s="76" t="s">
        <v>113</v>
      </c>
      <c r="D30" s="135">
        <f>E30/$E$36</f>
        <v>0.14099999999999999</v>
      </c>
      <c r="E30" s="607">
        <f>_7</f>
        <v>4000000</v>
      </c>
      <c r="F30" s="72"/>
      <c r="G30" s="72"/>
      <c r="H30" s="351">
        <v>0</v>
      </c>
      <c r="I30" s="324">
        <f>E30*H30</f>
        <v>0</v>
      </c>
      <c r="J30" s="34"/>
    </row>
    <row r="31" spans="1:13" ht="3.95" customHeight="1">
      <c r="D31" s="139"/>
      <c r="E31" s="612"/>
      <c r="F31" s="110"/>
      <c r="G31" s="110"/>
      <c r="H31" s="335"/>
      <c r="I31" s="317"/>
      <c r="J31" s="34"/>
    </row>
    <row r="32" spans="1:13" s="11" customFormat="1" ht="12.95" customHeight="1">
      <c r="A32" s="645">
        <v>8</v>
      </c>
      <c r="B32" s="645"/>
      <c r="C32" s="76" t="s">
        <v>129</v>
      </c>
      <c r="D32" s="135">
        <f>E32/$E$36</f>
        <v>1E-3</v>
      </c>
      <c r="E32" s="607">
        <f>_8</f>
        <v>36000</v>
      </c>
      <c r="F32" s="72"/>
      <c r="G32" s="72"/>
      <c r="H32" s="351">
        <v>0</v>
      </c>
      <c r="I32" s="324">
        <f>E32*H32</f>
        <v>0</v>
      </c>
      <c r="J32" s="34"/>
    </row>
    <row r="33" spans="1:11" ht="3.95" customHeight="1">
      <c r="D33" s="139"/>
      <c r="E33" s="612"/>
      <c r="F33" s="110"/>
      <c r="G33" s="110"/>
      <c r="H33" s="347"/>
      <c r="I33" s="317"/>
      <c r="J33" s="151"/>
    </row>
    <row r="34" spans="1:11" s="11" customFormat="1" ht="12.95" customHeight="1">
      <c r="A34" s="645">
        <v>9</v>
      </c>
      <c r="B34" s="645"/>
      <c r="C34" s="76" t="s">
        <v>10</v>
      </c>
      <c r="D34" s="135">
        <f>E34/$E$36</f>
        <v>5.6000000000000001E-2</v>
      </c>
      <c r="E34" s="607">
        <f>_9</f>
        <v>1600000</v>
      </c>
      <c r="F34" s="72"/>
      <c r="G34" s="72"/>
      <c r="H34" s="351">
        <v>0.1</v>
      </c>
      <c r="I34" s="324">
        <f>E34*H34</f>
        <v>160000</v>
      </c>
      <c r="J34" s="34"/>
    </row>
    <row r="35" spans="1:11" ht="9.9499999999999993" customHeight="1">
      <c r="B35" s="13"/>
      <c r="D35" s="32"/>
      <c r="E35" s="583"/>
      <c r="F35" s="227"/>
      <c r="G35" s="227"/>
      <c r="H35" s="227"/>
      <c r="I35" s="317"/>
      <c r="J35" s="1"/>
      <c r="K35"/>
    </row>
    <row r="36" spans="1:11" ht="12.95" customHeight="1">
      <c r="A36" s="113" t="s">
        <v>12</v>
      </c>
      <c r="B36" s="114"/>
      <c r="C36" s="114"/>
      <c r="D36" s="115">
        <f>SUM(D7:D34)</f>
        <v>1</v>
      </c>
      <c r="E36" s="307">
        <f>E7+E9+E11+E21+E23+E28+E30+E32+E34</f>
        <v>28451000</v>
      </c>
      <c r="F36" s="72"/>
      <c r="G36" s="72"/>
      <c r="H36" s="72"/>
      <c r="I36" s="307">
        <f>SUM(I7:I34)</f>
        <v>22010000</v>
      </c>
      <c r="J36" s="23"/>
    </row>
    <row r="37" spans="1:11" ht="4.1500000000000004" customHeight="1">
      <c r="B37" s="248"/>
      <c r="D37" s="32"/>
      <c r="E37" s="583"/>
      <c r="F37" s="227"/>
      <c r="G37" s="227"/>
      <c r="H37" s="240"/>
      <c r="I37" s="237"/>
      <c r="J37" s="1"/>
    </row>
    <row r="38" spans="1:11" s="10" customFormat="1" ht="12.95" customHeight="1">
      <c r="A38" s="306"/>
      <c r="B38" s="75" t="s">
        <v>130</v>
      </c>
      <c r="C38" s="76"/>
      <c r="D38" s="135"/>
      <c r="E38" s="324">
        <f>_mvB</f>
        <v>120000</v>
      </c>
      <c r="F38" s="72"/>
      <c r="G38" s="72"/>
      <c r="H38" s="327">
        <v>1</v>
      </c>
      <c r="I38" s="324">
        <f>E38*H38</f>
        <v>120000</v>
      </c>
    </row>
    <row r="39" spans="1:11" ht="9.9499999999999993" customHeight="1">
      <c r="D39" s="32"/>
    </row>
    <row r="40" spans="1:11" s="14" customFormat="1" ht="12.95" customHeight="1">
      <c r="A40" s="191" t="s">
        <v>32</v>
      </c>
      <c r="B40" s="192"/>
      <c r="C40" s="192"/>
      <c r="D40" s="203"/>
      <c r="E40" s="203"/>
      <c r="F40" s="203"/>
      <c r="G40" s="203"/>
      <c r="H40" s="204"/>
      <c r="I40" s="547">
        <f>SUM(I36:I38)</f>
        <v>22130000</v>
      </c>
      <c r="J40" s="602"/>
    </row>
    <row r="41" spans="1:11" s="16" customFormat="1" ht="15" customHeight="1">
      <c r="B41" s="18"/>
      <c r="H41" s="153"/>
      <c r="I41" s="153"/>
      <c r="J41" s="153"/>
    </row>
    <row r="42" spans="1:11" ht="12.75" customHeight="1">
      <c r="A42" s="154" t="s">
        <v>234</v>
      </c>
      <c r="B42" s="154"/>
      <c r="C42" s="155"/>
      <c r="D42" s="155"/>
      <c r="E42" s="155"/>
      <c r="F42" s="155"/>
      <c r="G42" s="155"/>
      <c r="H42" s="154"/>
      <c r="I42" s="250"/>
      <c r="J42" s="157"/>
    </row>
    <row r="43" spans="1:11" ht="6.75" customHeight="1">
      <c r="A43" s="156"/>
      <c r="B43" s="156"/>
      <c r="C43" s="156"/>
      <c r="D43" s="156"/>
      <c r="E43" s="156"/>
      <c r="F43" s="156"/>
      <c r="G43" s="156"/>
      <c r="I43" s="177"/>
    </row>
    <row r="44" spans="1:11" ht="12.75" customHeight="1">
      <c r="A44" s="157" t="s">
        <v>78</v>
      </c>
      <c r="B44" s="156"/>
      <c r="C44" s="156"/>
      <c r="D44" s="156"/>
      <c r="E44" s="156"/>
      <c r="F44" s="156"/>
      <c r="G44" s="156"/>
      <c r="I44" s="177"/>
    </row>
    <row r="45" spans="1:11" ht="12.75" customHeight="1">
      <c r="A45" s="19"/>
      <c r="B45" s="19"/>
      <c r="E45" s="158"/>
      <c r="F45" s="159" t="s">
        <v>4</v>
      </c>
      <c r="G45" s="159"/>
      <c r="H45" s="646" t="s">
        <v>169</v>
      </c>
      <c r="I45" s="646"/>
      <c r="J45" s="40"/>
    </row>
    <row r="46" spans="1:11" ht="12.75" customHeight="1">
      <c r="B46" s="20" t="s">
        <v>46</v>
      </c>
      <c r="C46" s="35"/>
      <c r="D46" s="35"/>
      <c r="E46" s="117">
        <v>30</v>
      </c>
      <c r="F46" s="160" t="s">
        <v>58</v>
      </c>
      <c r="G46" s="159"/>
      <c r="H46" s="305"/>
      <c r="I46" s="304"/>
      <c r="J46" s="40"/>
    </row>
    <row r="47" spans="1:11" ht="12.75" customHeight="1">
      <c r="B47" s="21" t="s">
        <v>47</v>
      </c>
      <c r="C47" s="36"/>
      <c r="D47" s="36"/>
      <c r="E47" s="118">
        <v>3</v>
      </c>
      <c r="F47" s="161" t="s">
        <v>6</v>
      </c>
      <c r="G47" s="159"/>
      <c r="H47" s="299"/>
      <c r="I47" s="303"/>
      <c r="J47" s="40"/>
    </row>
    <row r="48" spans="1:11" ht="12.75" customHeight="1">
      <c r="B48" s="21" t="s">
        <v>48</v>
      </c>
      <c r="C48" s="36"/>
      <c r="D48" s="36"/>
      <c r="E48" s="118">
        <v>3</v>
      </c>
      <c r="F48" s="161" t="s">
        <v>6</v>
      </c>
      <c r="G48" s="159"/>
      <c r="H48" s="299"/>
      <c r="I48" s="303"/>
      <c r="J48" s="40"/>
    </row>
    <row r="49" spans="1:11" ht="12.75" customHeight="1">
      <c r="B49" s="21" t="s">
        <v>49</v>
      </c>
      <c r="C49" s="36"/>
      <c r="D49" s="36"/>
      <c r="E49" s="118">
        <v>3</v>
      </c>
      <c r="F49" s="161" t="s">
        <v>6</v>
      </c>
      <c r="G49" s="159"/>
      <c r="H49" s="299"/>
      <c r="I49" s="303"/>
      <c r="J49" s="40"/>
    </row>
    <row r="50" spans="1:11" ht="4.5" customHeight="1">
      <c r="A50" s="19"/>
      <c r="B50" s="19"/>
      <c r="E50" s="162"/>
      <c r="F50" s="162"/>
      <c r="G50" s="162"/>
      <c r="H50" s="299"/>
      <c r="I50" s="303"/>
      <c r="J50" s="40"/>
    </row>
    <row r="51" spans="1:11" ht="12.75" customHeight="1">
      <c r="B51" s="553"/>
      <c r="C51" s="510" t="s">
        <v>235</v>
      </c>
      <c r="D51" s="36"/>
      <c r="E51" s="118">
        <v>3</v>
      </c>
      <c r="F51" s="161" t="s">
        <v>239</v>
      </c>
      <c r="G51" s="8"/>
      <c r="H51" s="302"/>
      <c r="I51" s="301"/>
      <c r="J51" s="1"/>
    </row>
    <row r="52" spans="1:11" ht="12.75" customHeight="1">
      <c r="B52" s="553"/>
      <c r="C52" s="510" t="s">
        <v>166</v>
      </c>
      <c r="D52" s="36"/>
      <c r="E52" s="118">
        <v>2</v>
      </c>
      <c r="F52" s="161" t="s">
        <v>240</v>
      </c>
      <c r="G52" s="8"/>
      <c r="H52" s="302"/>
      <c r="I52" s="301"/>
      <c r="J52" s="1"/>
    </row>
    <row r="53" spans="1:11" ht="4.5" customHeight="1">
      <c r="A53" s="19"/>
      <c r="B53" s="19"/>
      <c r="D53" s="164"/>
      <c r="E53" s="164"/>
      <c r="F53" s="164"/>
      <c r="G53" s="8"/>
      <c r="I53" s="238"/>
      <c r="J53" s="1"/>
    </row>
    <row r="54" spans="1:11" ht="12.75" customHeight="1">
      <c r="B54" s="19" t="s">
        <v>45</v>
      </c>
      <c r="C54" s="163"/>
      <c r="D54" s="164"/>
      <c r="E54" s="165">
        <f>SUM(E46:E52)</f>
        <v>44</v>
      </c>
      <c r="F54" s="164"/>
      <c r="G54" s="164"/>
      <c r="J54" s="1"/>
    </row>
    <row r="55" spans="1:11" ht="12.95" customHeight="1">
      <c r="B55" s="19"/>
      <c r="C55" s="164"/>
      <c r="D55" s="164"/>
      <c r="E55" s="164"/>
      <c r="F55" s="164"/>
      <c r="G55" s="164"/>
      <c r="I55" s="238"/>
      <c r="J55" s="1"/>
    </row>
    <row r="56" spans="1:11" ht="12.95" customHeight="1">
      <c r="A56" s="157" t="s">
        <v>15</v>
      </c>
      <c r="B56" s="157"/>
      <c r="C56" s="156"/>
      <c r="D56" s="156"/>
      <c r="E56" s="156"/>
      <c r="F56" s="156"/>
      <c r="G56" s="156"/>
      <c r="H56" s="251"/>
      <c r="I56" s="1"/>
    </row>
    <row r="57" spans="1:11" ht="4.5" customHeight="1">
      <c r="A57" s="157"/>
      <c r="B57" s="157"/>
      <c r="C57" s="157"/>
      <c r="I57" s="1"/>
    </row>
    <row r="58" spans="1:11" ht="12.75" customHeight="1">
      <c r="A58" s="166" t="s">
        <v>11</v>
      </c>
      <c r="B58" s="166"/>
      <c r="E58" s="195">
        <f>I40</f>
        <v>22130000</v>
      </c>
      <c r="H58" s="548"/>
      <c r="I58" s="548"/>
    </row>
    <row r="59" spans="1:11" ht="4.1500000000000004" customHeight="1">
      <c r="A59" s="19"/>
      <c r="B59" s="19"/>
      <c r="C59" s="19"/>
      <c r="D59" s="19"/>
      <c r="E59" s="163"/>
      <c r="I59"/>
      <c r="K59"/>
    </row>
    <row r="60" spans="1:11" ht="13.5" customHeight="1">
      <c r="A60" s="24" t="s">
        <v>66</v>
      </c>
      <c r="B60" s="24"/>
      <c r="E60" s="469">
        <f>0.021*E54+0.761</f>
        <v>1.69</v>
      </c>
      <c r="F60" s="121"/>
      <c r="G60" s="121"/>
      <c r="H60" s="548"/>
      <c r="I60" s="548"/>
      <c r="J60" s="519"/>
      <c r="K60" s="37"/>
    </row>
    <row r="61" spans="1:11" ht="4.1500000000000004" customHeight="1">
      <c r="A61" s="19"/>
      <c r="B61" s="19"/>
      <c r="E61" s="29"/>
      <c r="F61" s="121"/>
      <c r="G61" s="121"/>
      <c r="H61" s="548"/>
      <c r="I61" s="548"/>
      <c r="K61"/>
    </row>
    <row r="62" spans="1:11" s="110" customFormat="1" ht="18" customHeight="1">
      <c r="A62" s="19" t="s">
        <v>236</v>
      </c>
      <c r="B62" s="19"/>
      <c r="E62" s="230">
        <f>ROUND(1.75*(117.07*E58^(-0.41731)*E60/100),6)</f>
        <v>2.98E-3</v>
      </c>
      <c r="F62" s="554" t="s">
        <v>108</v>
      </c>
      <c r="G62" s="554"/>
      <c r="H62" s="556"/>
      <c r="I62" s="556"/>
      <c r="J62" s="555"/>
      <c r="K62" s="359"/>
    </row>
    <row r="63" spans="1:11" ht="12.75" customHeight="1">
      <c r="A63" s="19" t="s">
        <v>137</v>
      </c>
      <c r="B63" s="19"/>
      <c r="E63" s="257">
        <v>0</v>
      </c>
      <c r="F63" s="207"/>
      <c r="H63" s="548"/>
      <c r="I63" s="548"/>
      <c r="J63" s="519"/>
      <c r="K63" s="37"/>
    </row>
    <row r="64" spans="1:11" ht="4.1500000000000004" customHeight="1">
      <c r="A64" s="19"/>
      <c r="B64" s="19"/>
      <c r="E64" s="167"/>
      <c r="F64" s="167"/>
      <c r="G64" s="167"/>
      <c r="I64"/>
      <c r="K64"/>
    </row>
    <row r="65" spans="1:11" ht="15" customHeight="1">
      <c r="A65" s="22" t="s">
        <v>138</v>
      </c>
      <c r="B65" s="20"/>
      <c r="C65" s="168"/>
      <c r="D65" s="168"/>
      <c r="E65" s="169"/>
      <c r="F65" s="256">
        <f>E58*E62*(1+E63)</f>
        <v>65947</v>
      </c>
      <c r="H65" s="1"/>
      <c r="I65" s="1"/>
    </row>
    <row r="66" spans="1:11" ht="4.1500000000000004" customHeight="1">
      <c r="A66" s="24"/>
      <c r="B66" s="19"/>
      <c r="C66" s="156"/>
      <c r="D66" s="156"/>
      <c r="E66" s="170"/>
      <c r="F66" s="355"/>
      <c r="G66" s="170"/>
      <c r="I66" s="30"/>
      <c r="K66"/>
    </row>
    <row r="67" spans="1:11" ht="12.95" customHeight="1">
      <c r="A67" s="24"/>
      <c r="B67" s="19"/>
      <c r="C67" s="156"/>
      <c r="D67" s="275" t="s">
        <v>147</v>
      </c>
      <c r="E67" s="270" t="s">
        <v>5</v>
      </c>
      <c r="F67" s="170"/>
      <c r="G67" s="170"/>
      <c r="I67" s="30"/>
    </row>
    <row r="68" spans="1:11" ht="12.75" customHeight="1">
      <c r="A68" s="156" t="s">
        <v>98</v>
      </c>
      <c r="B68" s="156"/>
      <c r="D68" s="271">
        <v>0.03</v>
      </c>
      <c r="E68" s="222">
        <v>0.03</v>
      </c>
      <c r="F68" s="231">
        <f>$F$65*E68</f>
        <v>1978</v>
      </c>
      <c r="G68" s="177"/>
      <c r="I68"/>
    </row>
    <row r="69" spans="1:11" ht="12.75" customHeight="1">
      <c r="A69" s="156" t="s">
        <v>35</v>
      </c>
      <c r="B69" s="156"/>
      <c r="D69" s="271">
        <v>0.17</v>
      </c>
      <c r="E69" s="223">
        <v>0.17</v>
      </c>
      <c r="F69" s="231">
        <f t="shared" ref="F69:F77" si="1">$F$65*E69</f>
        <v>11211</v>
      </c>
      <c r="G69" s="177"/>
      <c r="I69"/>
    </row>
    <row r="70" spans="1:11" ht="12.75" customHeight="1">
      <c r="A70" s="156" t="s">
        <v>36</v>
      </c>
      <c r="B70" s="156"/>
      <c r="D70" s="271">
        <v>0.35</v>
      </c>
      <c r="E70" s="223">
        <v>0.35</v>
      </c>
      <c r="F70" s="231">
        <f t="shared" si="1"/>
        <v>23081</v>
      </c>
      <c r="G70" s="177"/>
      <c r="I70"/>
    </row>
    <row r="71" spans="1:11" ht="12.75" customHeight="1">
      <c r="A71" s="156" t="s">
        <v>37</v>
      </c>
      <c r="B71" s="156"/>
      <c r="D71" s="271">
        <v>0.05</v>
      </c>
      <c r="E71" s="223">
        <v>0.05</v>
      </c>
      <c r="F71" s="231">
        <f t="shared" si="1"/>
        <v>3297</v>
      </c>
      <c r="G71" s="177"/>
      <c r="I71"/>
    </row>
    <row r="72" spans="1:11" ht="12.75" customHeight="1">
      <c r="A72" s="156" t="s">
        <v>67</v>
      </c>
      <c r="B72" s="156"/>
      <c r="D72" s="271">
        <v>0.27</v>
      </c>
      <c r="E72" s="223">
        <v>0.27</v>
      </c>
      <c r="F72" s="231">
        <f t="shared" si="1"/>
        <v>17806</v>
      </c>
      <c r="G72" s="177"/>
      <c r="I72"/>
    </row>
    <row r="73" spans="1:11" ht="12.75" customHeight="1">
      <c r="A73" s="156" t="s">
        <v>39</v>
      </c>
      <c r="B73" s="156"/>
      <c r="D73" s="271">
        <v>0.02</v>
      </c>
      <c r="E73" s="223">
        <v>0.02</v>
      </c>
      <c r="F73" s="231">
        <f t="shared" si="1"/>
        <v>1319</v>
      </c>
      <c r="G73" s="177"/>
      <c r="I73"/>
    </row>
    <row r="74" spans="1:11" ht="12.75" customHeight="1">
      <c r="A74" s="156" t="s">
        <v>61</v>
      </c>
      <c r="B74" s="156"/>
      <c r="D74" s="271">
        <v>0.02</v>
      </c>
      <c r="E74" s="223">
        <v>0.02</v>
      </c>
      <c r="F74" s="231">
        <f t="shared" si="1"/>
        <v>1319</v>
      </c>
      <c r="G74" s="177"/>
      <c r="I74"/>
    </row>
    <row r="75" spans="1:11" ht="12.75" customHeight="1">
      <c r="A75" s="156" t="s">
        <v>54</v>
      </c>
      <c r="B75" s="156"/>
      <c r="D75" s="271">
        <v>0.09</v>
      </c>
      <c r="E75" s="223">
        <v>0.09</v>
      </c>
      <c r="F75" s="231">
        <f t="shared" si="1"/>
        <v>5935</v>
      </c>
      <c r="G75" s="177"/>
      <c r="I75"/>
    </row>
    <row r="76" spans="1:11" ht="12.75" customHeight="1">
      <c r="A76" s="156" t="s">
        <v>68</v>
      </c>
      <c r="B76" s="156"/>
      <c r="D76" s="271">
        <v>0</v>
      </c>
      <c r="E76" s="223">
        <v>0</v>
      </c>
      <c r="F76" s="231">
        <f t="shared" si="1"/>
        <v>0</v>
      </c>
      <c r="G76" s="177"/>
      <c r="I76"/>
    </row>
    <row r="77" spans="1:11" ht="12.75" customHeight="1">
      <c r="A77" s="168" t="s">
        <v>55</v>
      </c>
      <c r="B77" s="168"/>
      <c r="C77" s="35"/>
      <c r="D77" s="272">
        <v>0</v>
      </c>
      <c r="E77" s="224">
        <v>0</v>
      </c>
      <c r="F77" s="232">
        <f t="shared" si="1"/>
        <v>0</v>
      </c>
      <c r="G77" s="8"/>
      <c r="I77"/>
    </row>
    <row r="78" spans="1:11" s="16" customFormat="1" ht="18.600000000000001" customHeight="1">
      <c r="A78" s="292" t="s">
        <v>44</v>
      </c>
      <c r="B78" s="417"/>
      <c r="D78" s="621">
        <f>SUM(D68:D77)</f>
        <v>1</v>
      </c>
      <c r="E78" s="289">
        <f>SUM(E68:E77)</f>
        <v>1</v>
      </c>
      <c r="F78" s="420">
        <f>SUM(F68:F77)</f>
        <v>65946</v>
      </c>
      <c r="G78" s="289"/>
      <c r="H78" s="289"/>
      <c r="I78" s="420"/>
      <c r="J78" s="515"/>
    </row>
    <row r="79" spans="1:11" ht="12.75" customHeight="1">
      <c r="A79" s="536" t="s">
        <v>218</v>
      </c>
      <c r="B79" s="174"/>
      <c r="C79" s="35"/>
      <c r="D79" s="627">
        <v>0.02</v>
      </c>
      <c r="E79" s="494">
        <v>0</v>
      </c>
      <c r="F79" s="178">
        <f>$F$65*E79</f>
        <v>0</v>
      </c>
      <c r="G79" s="600"/>
      <c r="H79" s="178"/>
      <c r="I79" s="603"/>
    </row>
    <row r="80" spans="1:11" s="16" customFormat="1" ht="12.75" customHeight="1">
      <c r="A80" s="644" t="s">
        <v>251</v>
      </c>
      <c r="B80" s="644"/>
      <c r="C80" s="644"/>
      <c r="D80" s="621">
        <f>SUM(D79,D78)</f>
        <v>1.02</v>
      </c>
      <c r="E80" s="283">
        <f>SUM(E79,E78)</f>
        <v>1</v>
      </c>
      <c r="F80" s="288">
        <f>SUM(F79,F78)</f>
        <v>65946</v>
      </c>
      <c r="H80" s="472"/>
      <c r="I80" s="99">
        <f>F80</f>
        <v>65946</v>
      </c>
    </row>
    <row r="81" spans="1:13" ht="15" customHeight="1">
      <c r="A81" s="175"/>
      <c r="B81" s="19"/>
      <c r="D81" s="172"/>
      <c r="E81" s="172"/>
      <c r="F81" s="179"/>
      <c r="G81" s="8"/>
      <c r="I81" s="356"/>
      <c r="J81" s="1"/>
    </row>
    <row r="82" spans="1:13" ht="12.75" customHeight="1">
      <c r="A82" s="33" t="s">
        <v>123</v>
      </c>
      <c r="E82" s="549">
        <v>0</v>
      </c>
      <c r="F82" s="229">
        <v>0</v>
      </c>
      <c r="G82" s="288"/>
      <c r="I82" s="421">
        <f>E82*F82</f>
        <v>0</v>
      </c>
      <c r="K82"/>
      <c r="L82"/>
      <c r="M82"/>
    </row>
    <row r="83" spans="1:13" ht="4.1500000000000004" customHeight="1">
      <c r="E83" s="32"/>
      <c r="I83"/>
      <c r="K83"/>
    </row>
    <row r="84" spans="1:13" s="24" customFormat="1" ht="12.75">
      <c r="A84" s="94" t="s">
        <v>124</v>
      </c>
      <c r="B84" s="95"/>
      <c r="C84" s="96"/>
      <c r="D84" s="98"/>
      <c r="E84" s="109"/>
      <c r="F84" s="97"/>
      <c r="G84" s="97"/>
      <c r="H84" s="97"/>
      <c r="I84" s="99">
        <f>I80+I82</f>
        <v>65946</v>
      </c>
    </row>
    <row r="85" spans="1:13" s="24" customFormat="1" ht="4.5" customHeight="1">
      <c r="B85" s="25"/>
      <c r="C85" s="26"/>
      <c r="D85" s="47"/>
      <c r="E85" s="217"/>
      <c r="F85" s="48"/>
      <c r="G85" s="48"/>
      <c r="I85" s="91"/>
    </row>
    <row r="86" spans="1:13" s="24" customFormat="1" ht="12.75">
      <c r="A86" s="49" t="s">
        <v>13</v>
      </c>
      <c r="B86" s="25"/>
      <c r="C86" s="26"/>
      <c r="D86" s="47"/>
      <c r="E86" s="218">
        <v>0.04</v>
      </c>
      <c r="F86" s="48"/>
      <c r="G86" s="48"/>
      <c r="I86" s="91">
        <f>ROUND(I84*E86,2)</f>
        <v>2638</v>
      </c>
    </row>
    <row r="87" spans="1:13" s="24" customFormat="1" ht="3" customHeight="1">
      <c r="A87" s="50"/>
      <c r="B87" s="51"/>
      <c r="C87" s="52"/>
      <c r="D87" s="56"/>
      <c r="E87" s="219"/>
      <c r="F87" s="57"/>
      <c r="G87" s="57"/>
      <c r="H87" s="50"/>
      <c r="I87" s="93"/>
    </row>
    <row r="88" spans="1:13" s="24" customFormat="1" ht="3" customHeight="1">
      <c r="B88" s="25"/>
      <c r="C88" s="26"/>
      <c r="D88" s="58"/>
      <c r="E88" s="220"/>
      <c r="F88" s="65"/>
      <c r="G88" s="65"/>
      <c r="H88" s="59"/>
      <c r="I88" s="91"/>
    </row>
    <row r="89" spans="1:13" s="24" customFormat="1" ht="12.75">
      <c r="A89" s="53" t="s">
        <v>237</v>
      </c>
      <c r="B89" s="54"/>
      <c r="C89" s="55"/>
      <c r="D89" s="27"/>
      <c r="E89" s="217"/>
      <c r="F89" s="48"/>
      <c r="G89" s="48"/>
      <c r="I89" s="92">
        <f>I84+I86</f>
        <v>68584</v>
      </c>
    </row>
    <row r="90" spans="1:13" s="24" customFormat="1" ht="12.75">
      <c r="A90" s="24" t="s">
        <v>14</v>
      </c>
      <c r="B90" s="25"/>
      <c r="C90" s="26"/>
      <c r="D90" s="27"/>
      <c r="E90" s="28">
        <v>0.2</v>
      </c>
      <c r="F90" s="28"/>
      <c r="G90" s="28"/>
      <c r="I90" s="91">
        <f>ROUND(I89*E90,2)</f>
        <v>13717</v>
      </c>
    </row>
    <row r="91" spans="1:13" s="24" customFormat="1" ht="3" customHeight="1">
      <c r="B91" s="25"/>
      <c r="C91" s="26"/>
      <c r="D91" s="27"/>
      <c r="E91" s="48"/>
      <c r="F91" s="48"/>
      <c r="G91" s="48"/>
      <c r="I91" s="91"/>
    </row>
    <row r="92" spans="1:13" s="24" customFormat="1" ht="12.75">
      <c r="A92" s="184" t="s">
        <v>125</v>
      </c>
      <c r="B92" s="196"/>
      <c r="C92" s="185"/>
      <c r="D92" s="187"/>
      <c r="E92" s="188"/>
      <c r="F92" s="188"/>
      <c r="G92" s="188"/>
      <c r="H92" s="186"/>
      <c r="I92" s="189">
        <f>SUM(I88:I90)</f>
        <v>82301</v>
      </c>
    </row>
    <row r="93" spans="1:13" ht="5.0999999999999996" customHeight="1"/>
    <row r="94" spans="1:13" ht="12.75">
      <c r="A94" s="198" t="s">
        <v>106</v>
      </c>
      <c r="E94" s="255">
        <f>I89/E36</f>
        <v>2.4109999999999999E-3</v>
      </c>
    </row>
  </sheetData>
  <sheetProtection algorithmName="SHA-512" hashValue="hpsu12PkKqehfaV/a/SjAu6vcSHttLXqZINpoNtQYQQKQGJlj7Ra/FiI3EwkikdQ0rcuH7os9hFWKPSlM7RDsg==" saltValue="0dqmABTw1YSea95rc1rLPA==" spinCount="100000" sheet="1" objects="1" scenarios="1"/>
  <mergeCells count="12">
    <mergeCell ref="H45:I45"/>
    <mergeCell ref="A23:B23"/>
    <mergeCell ref="H2:I2"/>
    <mergeCell ref="A7:B7"/>
    <mergeCell ref="A9:B9"/>
    <mergeCell ref="A11:B11"/>
    <mergeCell ref="A21:B21"/>
    <mergeCell ref="A80:C80"/>
    <mergeCell ref="A28:B28"/>
    <mergeCell ref="A30:B30"/>
    <mergeCell ref="A32:B32"/>
    <mergeCell ref="A34:B34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&amp;L&amp;"Arial,Fett"&amp;K01+024Angebot Generalplaner gesamt  (GP 2a + PL + ÖBA)
&amp;"Arial,Standard"(TA Anlagengruppen getrennt)
nach VM.GP.2023&amp;R&amp;"Arial,Standard"&amp;K01+025Version 1
Stand: 15.09.2023</oddHeader>
    <oddFooter>&amp;L&amp;"Arial,Fett"&amp;K01+034LM.VM.2023&amp;"Arial,Standard"  | &amp;A |  Angebotsformular&amp;R&amp;"Arial,Standard"&amp;K01+034&amp;P/&amp;N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6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8" name="Scroll Bar 5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9" name="Scroll Bar 6">
              <controlPr defaultSize="0" autoPict="0">
                <anchor moveWithCells="1">
                  <from>
                    <xdr:col>7</xdr:col>
                    <xdr:colOff>38100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6"/>
  </sheetPr>
  <dimension ref="A1:M96"/>
  <sheetViews>
    <sheetView showGridLines="0" tabSelected="1" topLeftCell="A39" zoomScaleNormal="100" zoomScaleSheetLayoutView="85" zoomScalePageLayoutView="115" workbookViewId="0">
      <selection activeCell="F79" sqref="F79"/>
    </sheetView>
  </sheetViews>
  <sheetFormatPr baseColWidth="10" defaultColWidth="11.5703125" defaultRowHeight="15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1" width="62.85546875" bestFit="1" customWidth="1"/>
    <col min="14" max="16384" width="11.5703125" style="1"/>
  </cols>
  <sheetData>
    <row r="1" spans="1:13" ht="5.0999999999999996" customHeight="1"/>
    <row r="2" spans="1:13" s="37" customFormat="1" ht="35.1" customHeight="1">
      <c r="A2" s="107" t="s">
        <v>107</v>
      </c>
      <c r="E2" s="38"/>
      <c r="F2" s="38"/>
      <c r="G2" s="38"/>
      <c r="H2" s="648" t="s">
        <v>238</v>
      </c>
      <c r="I2" s="648"/>
      <c r="J2" s="43"/>
      <c r="K2" s="39"/>
      <c r="L2" s="39"/>
      <c r="M2" s="39"/>
    </row>
    <row r="3" spans="1:13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3" s="10" customFormat="1" ht="6" customHeight="1">
      <c r="I4" s="2"/>
      <c r="J4" s="2"/>
    </row>
    <row r="5" spans="1:13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3" s="11" customFormat="1" ht="12.95" customHeight="1">
      <c r="A6" s="645">
        <v>1</v>
      </c>
      <c r="B6" s="645"/>
      <c r="C6" s="76" t="s">
        <v>0</v>
      </c>
      <c r="D6" s="135">
        <f>E6/E35</f>
        <v>1E-3</v>
      </c>
      <c r="E6" s="324">
        <f>_1</f>
        <v>15000</v>
      </c>
      <c r="F6" s="72"/>
      <c r="G6" s="72"/>
      <c r="H6" s="325">
        <v>0</v>
      </c>
      <c r="I6" s="324">
        <f>E6*H6</f>
        <v>0</v>
      </c>
      <c r="J6" s="34"/>
    </row>
    <row r="7" spans="1:13" ht="3.95" customHeight="1">
      <c r="B7" s="4"/>
      <c r="D7" s="136"/>
      <c r="E7" s="237"/>
      <c r="F7" s="110"/>
      <c r="G7" s="110"/>
      <c r="H7" s="326"/>
      <c r="I7" s="237"/>
      <c r="J7" s="44"/>
    </row>
    <row r="8" spans="1:13" s="11" customFormat="1" ht="12.95" customHeight="1">
      <c r="A8" s="645">
        <v>2</v>
      </c>
      <c r="B8" s="645"/>
      <c r="C8" s="76" t="s">
        <v>1</v>
      </c>
      <c r="D8" s="135">
        <f>E8/E35</f>
        <v>0.316</v>
      </c>
      <c r="E8" s="324">
        <f>_2</f>
        <v>9000000</v>
      </c>
      <c r="F8" s="72"/>
      <c r="G8" s="72"/>
      <c r="H8" s="327">
        <v>1</v>
      </c>
      <c r="I8" s="324">
        <f>E8*H8</f>
        <v>9000000</v>
      </c>
      <c r="J8" s="34"/>
    </row>
    <row r="9" spans="1:13" ht="3.95" customHeight="1">
      <c r="D9" s="136"/>
      <c r="E9" s="312"/>
      <c r="F9" s="110"/>
      <c r="G9" s="110"/>
      <c r="H9" s="326"/>
      <c r="I9" s="317"/>
      <c r="J9" s="34"/>
    </row>
    <row r="10" spans="1:13" s="10" customFormat="1" ht="12.95" customHeight="1">
      <c r="A10" s="645">
        <v>3</v>
      </c>
      <c r="B10" s="645"/>
      <c r="C10" s="76" t="s">
        <v>7</v>
      </c>
      <c r="D10" s="135">
        <f>E10/E35</f>
        <v>0.19900000000000001</v>
      </c>
      <c r="E10" s="328">
        <f>_3</f>
        <v>5650000</v>
      </c>
      <c r="F10" s="72"/>
      <c r="G10" s="72"/>
      <c r="H10" s="326"/>
      <c r="I10" s="317"/>
      <c r="J10" s="34"/>
    </row>
    <row r="11" spans="1:13" ht="12.95" customHeight="1">
      <c r="A11" s="340">
        <v>3</v>
      </c>
      <c r="B11" s="79" t="s">
        <v>17</v>
      </c>
      <c r="C11" s="80" t="s">
        <v>18</v>
      </c>
      <c r="D11" s="137"/>
      <c r="E11" s="321">
        <f>_3.01</f>
        <v>900000</v>
      </c>
      <c r="F11" s="72"/>
      <c r="G11" s="72"/>
      <c r="H11" s="327">
        <v>1</v>
      </c>
      <c r="I11" s="329">
        <f t="shared" ref="I11:I18" si="0">E11*H11</f>
        <v>900000</v>
      </c>
      <c r="J11" s="34"/>
    </row>
    <row r="12" spans="1:13" ht="12.95" customHeight="1">
      <c r="A12" s="340">
        <v>3</v>
      </c>
      <c r="B12" s="83" t="s">
        <v>19</v>
      </c>
      <c r="C12" s="84" t="s">
        <v>26</v>
      </c>
      <c r="D12" s="138"/>
      <c r="E12" s="322">
        <f>_3.02</f>
        <v>1200000</v>
      </c>
      <c r="F12" s="72"/>
      <c r="G12" s="72"/>
      <c r="H12" s="327">
        <v>1</v>
      </c>
      <c r="I12" s="311">
        <f t="shared" si="0"/>
        <v>1200000</v>
      </c>
      <c r="J12" s="34"/>
    </row>
    <row r="13" spans="1:13" ht="12.95" customHeight="1">
      <c r="A13" s="340">
        <v>3</v>
      </c>
      <c r="B13" s="83" t="s">
        <v>20</v>
      </c>
      <c r="C13" s="84" t="s">
        <v>27</v>
      </c>
      <c r="D13" s="138"/>
      <c r="E13" s="323">
        <f>_3.03</f>
        <v>1000000</v>
      </c>
      <c r="F13" s="72"/>
      <c r="G13" s="72"/>
      <c r="H13" s="327">
        <v>1</v>
      </c>
      <c r="I13" s="311">
        <f t="shared" si="0"/>
        <v>1000000</v>
      </c>
      <c r="J13" s="34"/>
    </row>
    <row r="14" spans="1:13" ht="12.95" customHeight="1">
      <c r="A14" s="340">
        <v>3</v>
      </c>
      <c r="B14" s="83" t="s">
        <v>21</v>
      </c>
      <c r="C14" s="84" t="s">
        <v>28</v>
      </c>
      <c r="D14" s="138"/>
      <c r="E14" s="323">
        <f>_3.04</f>
        <v>1500000</v>
      </c>
      <c r="F14" s="72"/>
      <c r="G14" s="72"/>
      <c r="H14" s="327">
        <v>1</v>
      </c>
      <c r="I14" s="311">
        <f t="shared" si="0"/>
        <v>1500000</v>
      </c>
      <c r="J14" s="34"/>
      <c r="K14" s="558"/>
    </row>
    <row r="15" spans="1:13" ht="12.95" customHeight="1">
      <c r="A15" s="340">
        <v>3</v>
      </c>
      <c r="B15" s="83" t="s">
        <v>22</v>
      </c>
      <c r="C15" s="84" t="s">
        <v>31</v>
      </c>
      <c r="D15" s="138"/>
      <c r="E15" s="323">
        <f>_3.05</f>
        <v>600000</v>
      </c>
      <c r="F15" s="72"/>
      <c r="G15" s="72"/>
      <c r="H15" s="327">
        <v>1</v>
      </c>
      <c r="I15" s="311">
        <f t="shared" si="0"/>
        <v>600000</v>
      </c>
      <c r="J15" s="34"/>
      <c r="K15" s="558"/>
    </row>
    <row r="16" spans="1:13" ht="12.95" customHeight="1">
      <c r="A16" s="340">
        <v>3</v>
      </c>
      <c r="B16" s="83" t="s">
        <v>23</v>
      </c>
      <c r="C16" s="84" t="s">
        <v>29</v>
      </c>
      <c r="D16" s="138"/>
      <c r="E16" s="323">
        <f>_3.06</f>
        <v>150000</v>
      </c>
      <c r="F16" s="72"/>
      <c r="G16" s="72"/>
      <c r="H16" s="327">
        <v>1</v>
      </c>
      <c r="I16" s="311">
        <f t="shared" si="0"/>
        <v>150000</v>
      </c>
      <c r="J16" s="34"/>
      <c r="K16" s="558"/>
    </row>
    <row r="17" spans="1:11" ht="12.95" customHeight="1">
      <c r="A17" s="340">
        <v>3</v>
      </c>
      <c r="B17" s="83" t="s">
        <v>24</v>
      </c>
      <c r="C17" s="84" t="s">
        <v>30</v>
      </c>
      <c r="D17" s="138"/>
      <c r="E17" s="323">
        <f>_3.07</f>
        <v>0</v>
      </c>
      <c r="F17" s="72"/>
      <c r="G17" s="72"/>
      <c r="H17" s="327">
        <v>1</v>
      </c>
      <c r="I17" s="311">
        <f t="shared" si="0"/>
        <v>0</v>
      </c>
      <c r="J17" s="34"/>
      <c r="K17" s="558"/>
    </row>
    <row r="18" spans="1:11" ht="12.95" customHeight="1">
      <c r="A18" s="340">
        <v>3</v>
      </c>
      <c r="B18" s="83" t="s">
        <v>25</v>
      </c>
      <c r="C18" s="84" t="s">
        <v>8</v>
      </c>
      <c r="D18" s="138"/>
      <c r="E18" s="323">
        <f>_3.08</f>
        <v>300000</v>
      </c>
      <c r="F18" s="72"/>
      <c r="G18" s="72"/>
      <c r="H18" s="327">
        <v>1</v>
      </c>
      <c r="I18" s="330">
        <f t="shared" si="0"/>
        <v>300000</v>
      </c>
      <c r="J18" s="34"/>
      <c r="K18" s="558"/>
    </row>
    <row r="19" spans="1:11" ht="3.95" customHeight="1">
      <c r="D19" s="136"/>
      <c r="E19" s="317"/>
      <c r="F19" s="110"/>
      <c r="G19" s="110"/>
      <c r="H19" s="331"/>
      <c r="I19" s="317"/>
      <c r="J19" s="151"/>
    </row>
    <row r="20" spans="1:11" s="10" customFormat="1" ht="12.75" customHeight="1">
      <c r="A20" s="645">
        <v>4</v>
      </c>
      <c r="B20" s="645"/>
      <c r="C20" s="76" t="s">
        <v>2</v>
      </c>
      <c r="D20" s="135">
        <f>E20/E35</f>
        <v>0.21099999999999999</v>
      </c>
      <c r="E20" s="324">
        <f>_4</f>
        <v>6000000</v>
      </c>
      <c r="F20" s="72"/>
      <c r="G20" s="72"/>
      <c r="H20" s="327">
        <v>1</v>
      </c>
      <c r="I20" s="324">
        <f>E20*H20</f>
        <v>6000000</v>
      </c>
      <c r="J20" s="34"/>
    </row>
    <row r="21" spans="1:11" ht="3.95" customHeight="1">
      <c r="B21" s="4"/>
      <c r="D21" s="136"/>
      <c r="E21" s="317"/>
      <c r="F21" s="110"/>
      <c r="G21" s="110"/>
      <c r="H21" s="326"/>
      <c r="I21" s="317"/>
      <c r="J21" s="33"/>
    </row>
    <row r="22" spans="1:11" s="11" customFormat="1" ht="12.95" customHeight="1">
      <c r="A22" s="645">
        <v>5</v>
      </c>
      <c r="B22" s="645"/>
      <c r="C22" s="76" t="s">
        <v>9</v>
      </c>
      <c r="D22" s="135">
        <f>E22/E35</f>
        <v>5.8000000000000003E-2</v>
      </c>
      <c r="E22" s="329">
        <f>_5</f>
        <v>1650000</v>
      </c>
      <c r="F22" s="72"/>
      <c r="G22" s="72"/>
      <c r="H22" s="326"/>
      <c r="I22" s="332"/>
      <c r="J22" s="34"/>
    </row>
    <row r="23" spans="1:11" ht="12.95" customHeight="1">
      <c r="A23" s="506">
        <v>5</v>
      </c>
      <c r="B23" s="86" t="s">
        <v>17</v>
      </c>
      <c r="C23" s="80" t="s">
        <v>126</v>
      </c>
      <c r="D23" s="137"/>
      <c r="E23" s="322">
        <f>_5.01</f>
        <v>600000</v>
      </c>
      <c r="F23" s="72"/>
      <c r="G23" s="72"/>
      <c r="H23" s="327">
        <v>1</v>
      </c>
      <c r="I23" s="311">
        <f>H23*E23</f>
        <v>600000</v>
      </c>
      <c r="J23" s="34"/>
    </row>
    <row r="24" spans="1:11" ht="12.95" customHeight="1">
      <c r="A24" s="343">
        <v>5</v>
      </c>
      <c r="B24" s="87" t="s">
        <v>19</v>
      </c>
      <c r="C24" s="246" t="s">
        <v>127</v>
      </c>
      <c r="D24" s="247"/>
      <c r="E24" s="322">
        <f>_5.02</f>
        <v>1000000</v>
      </c>
      <c r="F24" s="72"/>
      <c r="G24" s="72"/>
      <c r="H24" s="327">
        <v>0.6</v>
      </c>
      <c r="I24" s="311">
        <f>E24*H24</f>
        <v>600000</v>
      </c>
      <c r="J24" s="34"/>
    </row>
    <row r="25" spans="1:11" ht="12.95" customHeight="1">
      <c r="A25" s="343">
        <v>5</v>
      </c>
      <c r="B25" s="87" t="s">
        <v>20</v>
      </c>
      <c r="C25" s="84" t="s">
        <v>52</v>
      </c>
      <c r="D25" s="138"/>
      <c r="E25" s="322">
        <f>_5.03</f>
        <v>50000</v>
      </c>
      <c r="F25" s="2"/>
      <c r="G25" s="2"/>
      <c r="H25" s="327">
        <v>0</v>
      </c>
      <c r="I25" s="311">
        <f>E25*H25</f>
        <v>0</v>
      </c>
      <c r="J25" s="34"/>
    </row>
    <row r="26" spans="1:11" ht="3.95" customHeight="1">
      <c r="D26" s="136"/>
      <c r="E26" s="317"/>
      <c r="F26" s="110"/>
      <c r="G26" s="110"/>
      <c r="H26" s="326"/>
      <c r="I26" s="317"/>
      <c r="J26" s="34"/>
    </row>
    <row r="27" spans="1:11" s="10" customFormat="1" ht="12.95" customHeight="1">
      <c r="A27" s="645">
        <v>6</v>
      </c>
      <c r="B27" s="645"/>
      <c r="C27" s="76" t="s">
        <v>3</v>
      </c>
      <c r="D27" s="135">
        <f>E27/E35</f>
        <v>1.7999999999999999E-2</v>
      </c>
      <c r="E27" s="324">
        <f>_6</f>
        <v>500000</v>
      </c>
      <c r="F27" s="72"/>
      <c r="G27" s="72"/>
      <c r="H27" s="327">
        <v>1</v>
      </c>
      <c r="I27" s="324">
        <f>E27*H27</f>
        <v>500000</v>
      </c>
      <c r="J27" s="34"/>
    </row>
    <row r="28" spans="1:11" ht="3.95" customHeight="1">
      <c r="B28" s="13"/>
      <c r="D28" s="139"/>
      <c r="E28" s="317"/>
      <c r="F28" s="110"/>
      <c r="G28" s="110"/>
      <c r="H28" s="326"/>
      <c r="I28" s="317"/>
      <c r="J28" s="34"/>
      <c r="K28" s="9"/>
    </row>
    <row r="29" spans="1:11" s="11" customFormat="1" ht="12.95" customHeight="1">
      <c r="A29" s="645">
        <v>7</v>
      </c>
      <c r="B29" s="645"/>
      <c r="C29" s="76" t="s">
        <v>113</v>
      </c>
      <c r="D29" s="135">
        <f>E29/E35</f>
        <v>0.14099999999999999</v>
      </c>
      <c r="E29" s="324">
        <f>_7</f>
        <v>4000000</v>
      </c>
      <c r="F29" s="72"/>
      <c r="G29" s="72"/>
      <c r="H29" s="327">
        <v>0</v>
      </c>
      <c r="I29" s="324">
        <f>E29*H29</f>
        <v>0</v>
      </c>
      <c r="J29" s="34"/>
      <c r="K29" s="3"/>
    </row>
    <row r="30" spans="1:11" ht="3.95" customHeight="1">
      <c r="D30" s="139"/>
      <c r="E30" s="317"/>
      <c r="F30" s="110"/>
      <c r="G30" s="110"/>
      <c r="H30" s="326"/>
      <c r="I30" s="317"/>
      <c r="J30" s="34"/>
      <c r="K30" s="9"/>
    </row>
    <row r="31" spans="1:11" s="11" customFormat="1" ht="12.95" customHeight="1">
      <c r="A31" s="645">
        <v>8</v>
      </c>
      <c r="B31" s="645"/>
      <c r="C31" s="76" t="s">
        <v>105</v>
      </c>
      <c r="D31" s="135">
        <f>E31/E35</f>
        <v>1E-3</v>
      </c>
      <c r="E31" s="324">
        <f>_8</f>
        <v>36000</v>
      </c>
      <c r="F31" s="72"/>
      <c r="G31" s="72"/>
      <c r="H31" s="327">
        <v>0</v>
      </c>
      <c r="I31" s="324">
        <f>E31*H31</f>
        <v>0</v>
      </c>
      <c r="J31" s="34"/>
      <c r="K31" s="31"/>
    </row>
    <row r="32" spans="1:11" ht="3.95" customHeight="1">
      <c r="D32" s="139"/>
      <c r="E32" s="317"/>
      <c r="F32" s="110"/>
      <c r="G32" s="110"/>
      <c r="H32" s="331"/>
      <c r="I32" s="317"/>
      <c r="J32" s="151"/>
      <c r="K32" s="23"/>
    </row>
    <row r="33" spans="1:13" s="11" customFormat="1" ht="12.95" customHeight="1">
      <c r="A33" s="645">
        <v>9</v>
      </c>
      <c r="B33" s="645"/>
      <c r="C33" s="76" t="s">
        <v>10</v>
      </c>
      <c r="D33" s="135">
        <f>E33/E35</f>
        <v>5.6000000000000001E-2</v>
      </c>
      <c r="E33" s="324">
        <f>_9</f>
        <v>1600000</v>
      </c>
      <c r="F33" s="72"/>
      <c r="G33" s="72"/>
      <c r="H33" s="327">
        <v>0.4</v>
      </c>
      <c r="I33" s="324">
        <f>E33*H33</f>
        <v>640000</v>
      </c>
      <c r="J33" s="34"/>
      <c r="K33" s="23"/>
    </row>
    <row r="34" spans="1:13" ht="12" customHeight="1">
      <c r="B34" s="13"/>
      <c r="D34" s="32"/>
      <c r="E34" s="317"/>
      <c r="F34" s="110"/>
      <c r="G34" s="110"/>
      <c r="H34" s="110"/>
      <c r="I34" s="317"/>
      <c r="J34" s="1"/>
      <c r="K34" s="23"/>
    </row>
    <row r="35" spans="1:13" s="110" customFormat="1" ht="12.95" customHeight="1">
      <c r="A35" s="113" t="s">
        <v>12</v>
      </c>
      <c r="B35" s="114"/>
      <c r="C35" s="114"/>
      <c r="D35" s="115">
        <f>SUM(D6:D33)</f>
        <v>1</v>
      </c>
      <c r="E35" s="307">
        <f>_EK</f>
        <v>28451000</v>
      </c>
      <c r="F35" s="72"/>
      <c r="G35" s="72"/>
      <c r="H35" s="72"/>
      <c r="I35" s="307">
        <f>SUM(I6:I33)</f>
        <v>22990000</v>
      </c>
      <c r="J35" s="3"/>
      <c r="K35" s="3"/>
      <c r="L35" s="116"/>
      <c r="M35" s="116"/>
    </row>
    <row r="36" spans="1:13" ht="3.95" customHeight="1">
      <c r="B36" s="248"/>
      <c r="D36" s="32"/>
      <c r="E36" s="110"/>
      <c r="F36" s="252"/>
      <c r="G36" s="252"/>
      <c r="H36" s="110"/>
      <c r="I36" s="317"/>
      <c r="J36" s="1"/>
      <c r="K36" s="1"/>
      <c r="L36" s="1"/>
      <c r="M36" s="1"/>
    </row>
    <row r="37" spans="1:13" s="10" customFormat="1" ht="12.95" customHeight="1">
      <c r="A37" s="306"/>
      <c r="B37" s="75" t="s">
        <v>130</v>
      </c>
      <c r="C37" s="76"/>
      <c r="D37" s="135"/>
      <c r="E37" s="324">
        <f>_mvB</f>
        <v>120000</v>
      </c>
      <c r="F37" s="72"/>
      <c r="G37" s="72"/>
      <c r="H37" s="327">
        <v>1</v>
      </c>
      <c r="I37" s="324">
        <f>E37*H37</f>
        <v>120000</v>
      </c>
    </row>
    <row r="38" spans="1:13" ht="3.95" customHeight="1">
      <c r="B38" s="248"/>
      <c r="D38" s="32"/>
      <c r="E38" s="110"/>
      <c r="F38" s="252"/>
      <c r="G38" s="252"/>
      <c r="H38" s="110"/>
      <c r="I38" s="110"/>
      <c r="J38" s="1"/>
      <c r="K38" s="1"/>
      <c r="L38" s="1"/>
      <c r="M38" s="1"/>
    </row>
    <row r="39" spans="1:13" s="112" customFormat="1" ht="12.95" customHeight="1">
      <c r="A39" s="191" t="s">
        <v>32</v>
      </c>
      <c r="B39" s="192"/>
      <c r="C39" s="192"/>
      <c r="D39" s="192"/>
      <c r="E39" s="192"/>
      <c r="F39" s="192"/>
      <c r="G39" s="192"/>
      <c r="H39" s="193"/>
      <c r="I39" s="194">
        <f>I35+I37</f>
        <v>23110000</v>
      </c>
      <c r="J39" s="559"/>
      <c r="K39" s="3"/>
    </row>
    <row r="40" spans="1:13" ht="15" customHeight="1">
      <c r="A40" s="156"/>
      <c r="B40" s="156"/>
      <c r="C40" s="156"/>
      <c r="D40" s="156"/>
      <c r="E40" s="156"/>
      <c r="F40" s="156"/>
      <c r="G40" s="156"/>
      <c r="I40" s="177"/>
    </row>
    <row r="41" spans="1:13" ht="12.75" customHeight="1">
      <c r="A41" s="154" t="s">
        <v>148</v>
      </c>
      <c r="B41" s="154"/>
      <c r="C41" s="155"/>
      <c r="D41" s="155"/>
      <c r="E41" s="155"/>
      <c r="F41" s="155"/>
      <c r="G41" s="155"/>
      <c r="H41" s="154"/>
      <c r="I41" s="266"/>
      <c r="J41" s="157"/>
    </row>
    <row r="42" spans="1:13" ht="6.75" customHeight="1">
      <c r="A42" s="156"/>
      <c r="B42" s="156"/>
      <c r="C42" s="156"/>
      <c r="D42" s="156"/>
      <c r="E42" s="156"/>
      <c r="F42" s="156"/>
      <c r="G42" s="156"/>
      <c r="I42" s="177"/>
    </row>
    <row r="43" spans="1:13" ht="12.75" customHeight="1">
      <c r="A43" s="157" t="s">
        <v>78</v>
      </c>
      <c r="B43" s="156"/>
      <c r="C43" s="156"/>
      <c r="D43" s="156"/>
      <c r="E43" s="156"/>
      <c r="F43" s="156"/>
      <c r="G43" s="156"/>
      <c r="I43" s="177"/>
    </row>
    <row r="44" spans="1:13" ht="12.75" customHeight="1">
      <c r="A44" s="19"/>
      <c r="B44" s="19"/>
      <c r="E44" s="158" t="s">
        <v>5</v>
      </c>
      <c r="F44" s="159" t="s">
        <v>4</v>
      </c>
      <c r="G44" s="159"/>
      <c r="H44" s="646" t="s">
        <v>169</v>
      </c>
      <c r="I44" s="646"/>
      <c r="J44" s="40"/>
    </row>
    <row r="45" spans="1:13" ht="12.75" customHeight="1">
      <c r="B45" s="20" t="s">
        <v>46</v>
      </c>
      <c r="C45" s="35"/>
      <c r="D45" s="35"/>
      <c r="E45" s="117">
        <v>15</v>
      </c>
      <c r="F45" s="160" t="s">
        <v>33</v>
      </c>
      <c r="G45" s="159"/>
      <c r="H45" s="305"/>
      <c r="I45" s="304"/>
      <c r="J45" s="40"/>
    </row>
    <row r="46" spans="1:13" ht="12.75" customHeight="1">
      <c r="B46" s="21" t="s">
        <v>47</v>
      </c>
      <c r="C46" s="36"/>
      <c r="D46" s="36"/>
      <c r="E46" s="118">
        <v>2</v>
      </c>
      <c r="F46" s="161" t="s">
        <v>6</v>
      </c>
      <c r="G46" s="159"/>
      <c r="H46" s="299"/>
      <c r="I46" s="303"/>
      <c r="J46" s="40"/>
    </row>
    <row r="47" spans="1:13" ht="12.75" customHeight="1">
      <c r="B47" s="21" t="s">
        <v>48</v>
      </c>
      <c r="C47" s="36"/>
      <c r="D47" s="36"/>
      <c r="E47" s="118">
        <v>1</v>
      </c>
      <c r="F47" s="161" t="s">
        <v>6</v>
      </c>
      <c r="G47" s="159"/>
      <c r="H47" s="299"/>
      <c r="I47" s="303"/>
      <c r="J47" s="40"/>
    </row>
    <row r="48" spans="1:13" ht="12.75" customHeight="1">
      <c r="B48" s="21" t="s">
        <v>49</v>
      </c>
      <c r="C48" s="36"/>
      <c r="D48" s="36"/>
      <c r="E48" s="118">
        <v>2</v>
      </c>
      <c r="F48" s="161" t="s">
        <v>6</v>
      </c>
      <c r="G48" s="159"/>
      <c r="H48" s="299"/>
      <c r="I48" s="303"/>
      <c r="J48" s="40"/>
    </row>
    <row r="49" spans="1:13" ht="4.5" customHeight="1">
      <c r="A49" s="19"/>
      <c r="B49" s="19"/>
      <c r="E49" s="162"/>
      <c r="F49" s="161"/>
      <c r="G49" s="300"/>
      <c r="H49" s="299"/>
      <c r="I49" s="303"/>
      <c r="J49" s="40"/>
      <c r="L49" s="1"/>
      <c r="M49" s="1"/>
    </row>
    <row r="50" spans="1:13" ht="12.75" customHeight="1">
      <c r="B50" s="553"/>
      <c r="C50" s="21" t="s">
        <v>167</v>
      </c>
      <c r="D50" s="36"/>
      <c r="E50" s="118">
        <v>0</v>
      </c>
      <c r="F50" s="161" t="s">
        <v>239</v>
      </c>
      <c r="G50" s="300"/>
      <c r="H50" s="302"/>
      <c r="I50" s="302"/>
      <c r="J50" s="40"/>
      <c r="L50" s="1"/>
      <c r="M50" s="1"/>
    </row>
    <row r="51" spans="1:13" ht="12.75" customHeight="1">
      <c r="B51" s="553"/>
      <c r="C51" s="21" t="s">
        <v>166</v>
      </c>
      <c r="D51" s="36"/>
      <c r="E51" s="118">
        <v>0</v>
      </c>
      <c r="F51" s="161" t="s">
        <v>240</v>
      </c>
      <c r="G51" s="300"/>
      <c r="H51" s="302"/>
      <c r="I51" s="301"/>
      <c r="J51" s="40"/>
      <c r="L51" s="1"/>
      <c r="M51" s="1"/>
    </row>
    <row r="52" spans="1:13" ht="12.75" customHeight="1">
      <c r="B52" s="553"/>
      <c r="C52" s="21" t="s">
        <v>165</v>
      </c>
      <c r="D52" s="36"/>
      <c r="E52" s="118">
        <v>0</v>
      </c>
      <c r="F52" s="161" t="s">
        <v>240</v>
      </c>
      <c r="G52" s="300"/>
      <c r="H52" s="299"/>
      <c r="I52" s="298"/>
      <c r="J52" s="40"/>
      <c r="L52" s="1"/>
      <c r="M52" s="1"/>
    </row>
    <row r="53" spans="1:13" ht="12.75" customHeight="1">
      <c r="B53" s="553"/>
      <c r="C53" s="21" t="s">
        <v>164</v>
      </c>
      <c r="D53" s="36"/>
      <c r="E53" s="118">
        <v>0</v>
      </c>
      <c r="F53" s="161" t="s">
        <v>239</v>
      </c>
      <c r="G53" s="300"/>
      <c r="H53" s="299"/>
      <c r="I53" s="298"/>
      <c r="J53" s="40"/>
      <c r="L53" s="1"/>
      <c r="M53" s="1"/>
    </row>
    <row r="54" spans="1:13" ht="4.5" customHeight="1">
      <c r="A54" s="19"/>
      <c r="B54" s="19"/>
      <c r="C54" s="164"/>
      <c r="D54" s="164"/>
      <c r="E54" s="164"/>
      <c r="F54" s="164"/>
      <c r="G54" s="164"/>
      <c r="I54" s="238"/>
      <c r="J54" s="1"/>
    </row>
    <row r="55" spans="1:13" ht="12.75" customHeight="1">
      <c r="B55" s="19" t="s">
        <v>45</v>
      </c>
      <c r="C55" s="163"/>
      <c r="D55" s="164"/>
      <c r="E55" s="165">
        <f>SUM(E45:E53)</f>
        <v>20</v>
      </c>
      <c r="F55" s="164"/>
      <c r="G55" s="164"/>
      <c r="I55" s="238"/>
      <c r="J55" s="1"/>
    </row>
    <row r="56" spans="1:13" ht="9.9499999999999993" customHeight="1">
      <c r="B56" s="19"/>
      <c r="C56" s="164"/>
      <c r="D56" s="164"/>
      <c r="E56" s="164"/>
      <c r="F56" s="164"/>
      <c r="G56" s="164"/>
      <c r="I56" s="238"/>
      <c r="J56" s="1"/>
    </row>
    <row r="57" spans="1:13" ht="12.95" customHeight="1">
      <c r="A57" s="157" t="s">
        <v>15</v>
      </c>
      <c r="B57" s="157"/>
      <c r="C57" s="156"/>
      <c r="D57" s="156"/>
      <c r="E57" s="156"/>
      <c r="F57" s="156"/>
      <c r="G57" s="156"/>
      <c r="H57" s="251"/>
      <c r="I57" s="1"/>
    </row>
    <row r="58" spans="1:13" ht="4.5" customHeight="1">
      <c r="A58" s="157"/>
      <c r="B58" s="157"/>
      <c r="C58" s="157"/>
      <c r="I58" s="1"/>
    </row>
    <row r="59" spans="1:13" ht="12.75" customHeight="1">
      <c r="A59" s="166" t="s">
        <v>11</v>
      </c>
      <c r="B59" s="166"/>
      <c r="E59" s="195">
        <f>I39</f>
        <v>23110000</v>
      </c>
      <c r="I59" s="1"/>
    </row>
    <row r="60" spans="1:13" ht="3.95" customHeight="1">
      <c r="A60" s="19"/>
      <c r="B60" s="19"/>
      <c r="C60" s="19"/>
      <c r="D60" s="19"/>
      <c r="E60" s="163"/>
      <c r="I60"/>
    </row>
    <row r="61" spans="1:13" ht="14.45" customHeight="1">
      <c r="A61" s="19" t="s">
        <v>81</v>
      </c>
      <c r="B61" s="19"/>
      <c r="E61" s="100">
        <f>0.0214*E55+0.9143</f>
        <v>1.34</v>
      </c>
      <c r="F61" s="647" t="str">
        <f>IF(I39&lt;500000,"! gemäß GP.9b (3): Ist die Bemessungsgrundlage niedriger als 500.000 €, sollte der Ermittlungsweg über Abschätzung des Büro- / Personalaufwandes gewählt werden","")</f>
        <v/>
      </c>
      <c r="G61" s="647"/>
      <c r="H61" s="647"/>
      <c r="I61" s="647"/>
    </row>
    <row r="62" spans="1:13" ht="3.95" customHeight="1">
      <c r="A62" s="19"/>
      <c r="B62" s="19"/>
      <c r="E62" s="29"/>
      <c r="F62" s="647"/>
      <c r="G62" s="647"/>
      <c r="H62" s="647"/>
      <c r="I62" s="647"/>
    </row>
    <row r="63" spans="1:13" ht="15.6" customHeight="1">
      <c r="A63" s="19" t="s">
        <v>245</v>
      </c>
      <c r="B63" s="19"/>
      <c r="E63" s="230">
        <f>ROUND(IF(E59=0,"-",(1.75*(-0.0778*LN(E59)+2.022))*E61/100),6)</f>
        <v>1.6482E-2</v>
      </c>
      <c r="F63" s="207" t="s">
        <v>108</v>
      </c>
      <c r="G63" s="320" t="s">
        <v>145</v>
      </c>
      <c r="H63" s="1"/>
      <c r="I63" s="319"/>
      <c r="J63" s="268"/>
    </row>
    <row r="64" spans="1:13" ht="15.6" customHeight="1">
      <c r="A64" s="19" t="s">
        <v>144</v>
      </c>
      <c r="B64" s="19"/>
      <c r="E64" s="257">
        <v>0</v>
      </c>
      <c r="F64" s="207"/>
      <c r="G64" s="207"/>
      <c r="H64" s="319"/>
      <c r="I64" s="319"/>
      <c r="J64" s="268"/>
    </row>
    <row r="65" spans="1:11" ht="3.95" customHeight="1">
      <c r="A65" s="19"/>
      <c r="B65" s="19"/>
      <c r="E65" s="167"/>
      <c r="F65" s="167"/>
      <c r="G65" s="167"/>
      <c r="I65" s="268"/>
      <c r="J65" s="268"/>
    </row>
    <row r="66" spans="1:11" ht="15" customHeight="1">
      <c r="A66" s="22" t="s">
        <v>146</v>
      </c>
      <c r="B66" s="20"/>
      <c r="C66" s="168"/>
      <c r="D66" s="168"/>
      <c r="E66" s="169"/>
      <c r="F66" s="267">
        <f>IF(E59=0,"-",ROUND(E59*E63*(1+E64),2))</f>
        <v>380899</v>
      </c>
      <c r="G66" s="167"/>
      <c r="H66" s="167"/>
      <c r="I66" s="167"/>
    </row>
    <row r="67" spans="1:11" ht="3.95" customHeight="1">
      <c r="A67" s="24"/>
      <c r="B67" s="19"/>
      <c r="C67" s="156"/>
      <c r="D67" s="156"/>
      <c r="E67" s="170"/>
      <c r="F67" s="170"/>
      <c r="G67" s="170"/>
      <c r="I67" s="30"/>
    </row>
    <row r="68" spans="1:11" ht="12.95" customHeight="1">
      <c r="A68" s="24"/>
      <c r="B68" s="19"/>
      <c r="C68" s="156"/>
      <c r="D68" s="269" t="s">
        <v>147</v>
      </c>
      <c r="E68" s="270" t="s">
        <v>5</v>
      </c>
      <c r="F68" s="170"/>
      <c r="G68" s="560"/>
      <c r="H68" s="158"/>
      <c r="I68" s="30"/>
    </row>
    <row r="69" spans="1:11" ht="12.75" customHeight="1">
      <c r="A69" s="156" t="s">
        <v>34</v>
      </c>
      <c r="B69" s="156"/>
      <c r="D69" s="271">
        <v>0.2</v>
      </c>
      <c r="E69" s="222">
        <v>0.2</v>
      </c>
      <c r="F69" s="173">
        <f>IF($E$59=0,"-",$F$66*E69)</f>
        <v>76180</v>
      </c>
      <c r="G69" s="295"/>
      <c r="H69" s="561"/>
      <c r="I69" s="177"/>
    </row>
    <row r="70" spans="1:11" ht="12.75" customHeight="1">
      <c r="A70" s="156" t="s">
        <v>35</v>
      </c>
      <c r="B70" s="156"/>
      <c r="D70" s="271">
        <v>0.06</v>
      </c>
      <c r="E70" s="223">
        <v>0.06</v>
      </c>
      <c r="F70" s="173">
        <f t="shared" ref="F70:F78" si="1">IF($E$59=0,"-",$F$66*E70)</f>
        <v>22854</v>
      </c>
      <c r="G70" s="294"/>
      <c r="H70" s="562"/>
      <c r="I70" s="177"/>
    </row>
    <row r="71" spans="1:11" ht="12.75" customHeight="1">
      <c r="A71" s="156" t="s">
        <v>36</v>
      </c>
      <c r="B71" s="156"/>
      <c r="D71" s="271">
        <v>0.08</v>
      </c>
      <c r="E71" s="223">
        <v>0.08</v>
      </c>
      <c r="F71" s="173">
        <f t="shared" si="1"/>
        <v>30472</v>
      </c>
      <c r="G71" s="294"/>
      <c r="H71" s="562"/>
      <c r="I71" s="177"/>
    </row>
    <row r="72" spans="1:11" ht="12.75" customHeight="1">
      <c r="A72" s="156" t="s">
        <v>37</v>
      </c>
      <c r="B72" s="156"/>
      <c r="D72" s="271">
        <v>0.03</v>
      </c>
      <c r="E72" s="223">
        <v>0.03</v>
      </c>
      <c r="F72" s="173">
        <f t="shared" si="1"/>
        <v>11427</v>
      </c>
      <c r="G72" s="294"/>
      <c r="H72" s="562"/>
      <c r="I72" s="177"/>
    </row>
    <row r="73" spans="1:11" ht="12.75" customHeight="1">
      <c r="A73" s="156" t="s">
        <v>38</v>
      </c>
      <c r="B73" s="156"/>
      <c r="D73" s="271">
        <v>0.17</v>
      </c>
      <c r="E73" s="223">
        <v>0.17</v>
      </c>
      <c r="F73" s="173">
        <f t="shared" si="1"/>
        <v>64753</v>
      </c>
      <c r="G73" s="294"/>
      <c r="H73" s="562"/>
      <c r="I73" s="177"/>
    </row>
    <row r="74" spans="1:11" ht="12.75" customHeight="1">
      <c r="A74" s="156" t="s">
        <v>39</v>
      </c>
      <c r="B74" s="156"/>
      <c r="D74" s="271">
        <v>0.08</v>
      </c>
      <c r="E74" s="223">
        <v>0.08</v>
      </c>
      <c r="F74" s="173">
        <f t="shared" si="1"/>
        <v>30472</v>
      </c>
      <c r="G74" s="295"/>
      <c r="H74" s="561"/>
      <c r="I74" s="177"/>
    </row>
    <row r="75" spans="1:11" ht="12.75" customHeight="1">
      <c r="A75" s="156" t="s">
        <v>40</v>
      </c>
      <c r="B75" s="156"/>
      <c r="D75" s="271">
        <v>0.02</v>
      </c>
      <c r="E75" s="223">
        <v>0.02</v>
      </c>
      <c r="F75" s="173">
        <f t="shared" si="1"/>
        <v>7618</v>
      </c>
      <c r="G75" s="294"/>
      <c r="H75" s="562"/>
      <c r="I75" s="177"/>
    </row>
    <row r="76" spans="1:11" ht="12.75" customHeight="1">
      <c r="A76" s="156" t="s">
        <v>41</v>
      </c>
      <c r="B76" s="156"/>
      <c r="D76" s="271">
        <v>0.03</v>
      </c>
      <c r="E76" s="223">
        <v>0.03</v>
      </c>
      <c r="F76" s="173">
        <f t="shared" si="1"/>
        <v>11427</v>
      </c>
      <c r="G76" s="294"/>
      <c r="H76" s="562"/>
      <c r="I76" s="177"/>
    </row>
    <row r="77" spans="1:11" ht="12.75" customHeight="1">
      <c r="A77" s="156" t="s">
        <v>42</v>
      </c>
      <c r="B77" s="156"/>
      <c r="D77" s="271">
        <v>0.3</v>
      </c>
      <c r="E77" s="223">
        <v>0.3</v>
      </c>
      <c r="F77" s="173">
        <f t="shared" si="1"/>
        <v>114270</v>
      </c>
      <c r="G77" s="294"/>
      <c r="H77" s="562"/>
      <c r="I77" s="177"/>
    </row>
    <row r="78" spans="1:11" ht="12.75" customHeight="1">
      <c r="A78" s="168" t="s">
        <v>43</v>
      </c>
      <c r="B78" s="168"/>
      <c r="C78" s="35"/>
      <c r="D78" s="569">
        <v>0.03</v>
      </c>
      <c r="E78" s="224">
        <v>0.03</v>
      </c>
      <c r="F78" s="173">
        <f t="shared" si="1"/>
        <v>11427</v>
      </c>
      <c r="G78" s="293"/>
      <c r="H78" s="563"/>
      <c r="I78" s="178"/>
    </row>
    <row r="79" spans="1:11" s="287" customFormat="1" ht="18.600000000000001" customHeight="1">
      <c r="A79" s="292" t="s">
        <v>44</v>
      </c>
      <c r="B79" s="291"/>
      <c r="D79" s="618">
        <f>SUM(D69:D78)</f>
        <v>1</v>
      </c>
      <c r="E79" s="283">
        <f>SUM(E69:E78)</f>
        <v>1</v>
      </c>
      <c r="F79" s="290">
        <f>SUM(F69:F78)</f>
        <v>380900</v>
      </c>
      <c r="G79" s="288"/>
      <c r="H79" s="289"/>
      <c r="I79" s="288"/>
      <c r="J79" s="564"/>
      <c r="K79" s="565"/>
    </row>
    <row r="80" spans="1:11" s="244" customFormat="1" ht="12.75" customHeight="1">
      <c r="A80" s="635" t="s">
        <v>163</v>
      </c>
      <c r="B80" s="243"/>
      <c r="D80" s="273">
        <v>0.01</v>
      </c>
      <c r="E80" s="619">
        <v>0.01</v>
      </c>
      <c r="F80" s="173">
        <f>IF($E$59=0,"-",$F$66*E80)</f>
        <v>3809</v>
      </c>
      <c r="I80" s="566"/>
      <c r="J80" s="567"/>
      <c r="K80" s="568"/>
    </row>
    <row r="81" spans="1:13" ht="12.75" customHeight="1">
      <c r="A81" s="35" t="s">
        <v>162</v>
      </c>
      <c r="B81" s="168"/>
      <c r="C81" s="35"/>
      <c r="D81" s="274">
        <v>0.01</v>
      </c>
      <c r="E81" s="286">
        <v>0</v>
      </c>
      <c r="F81" s="285">
        <f>IF($E$59=0,"-",$F$66*E81)</f>
        <v>0</v>
      </c>
      <c r="G81" s="35"/>
      <c r="H81" s="45"/>
      <c r="I81" s="35"/>
      <c r="K81" s="1"/>
      <c r="L81" s="1"/>
      <c r="M81" s="1"/>
    </row>
    <row r="82" spans="1:13" ht="12.75" customHeight="1">
      <c r="A82" s="644" t="s">
        <v>251</v>
      </c>
      <c r="B82" s="644"/>
      <c r="C82" s="644"/>
      <c r="D82" s="273">
        <f>SUM(D79:D81)</f>
        <v>1.02</v>
      </c>
      <c r="E82" s="283">
        <f>SUM(E79:E81)</f>
        <v>1.01</v>
      </c>
      <c r="F82" s="284">
        <f>SUM(F80:F81)</f>
        <v>3809</v>
      </c>
      <c r="H82" s="173"/>
      <c r="I82" s="143">
        <f>F79+F82</f>
        <v>384709</v>
      </c>
      <c r="L82" s="1"/>
      <c r="M82" s="1"/>
    </row>
    <row r="83" spans="1:13" ht="12.75" customHeight="1">
      <c r="A83" s="175"/>
      <c r="B83" s="156"/>
      <c r="D83" s="273"/>
      <c r="E83" s="283"/>
      <c r="H83" s="173"/>
      <c r="I83" s="145"/>
      <c r="L83" s="1"/>
      <c r="M83" s="1"/>
    </row>
    <row r="84" spans="1:13" ht="12.75" customHeight="1">
      <c r="A84" s="33" t="s">
        <v>123</v>
      </c>
      <c r="E84" s="228">
        <v>0</v>
      </c>
      <c r="F84" s="229">
        <v>0</v>
      </c>
      <c r="I84" s="282">
        <f>E84*F84</f>
        <v>0</v>
      </c>
    </row>
    <row r="85" spans="1:13" ht="3.95" customHeight="1">
      <c r="I85"/>
    </row>
    <row r="86" spans="1:13" s="24" customFormat="1" ht="12.75">
      <c r="A86" s="94" t="s">
        <v>117</v>
      </c>
      <c r="B86" s="95"/>
      <c r="C86" s="96"/>
      <c r="D86" s="98"/>
      <c r="E86" s="97"/>
      <c r="F86" s="97"/>
      <c r="G86" s="97"/>
      <c r="H86" s="97"/>
      <c r="I86" s="143">
        <f>I82+I84</f>
        <v>384709</v>
      </c>
      <c r="K86" s="60"/>
      <c r="L86" s="61"/>
      <c r="M86" s="62"/>
    </row>
    <row r="87" spans="1:13" s="24" customFormat="1" ht="4.5" customHeight="1">
      <c r="B87" s="25"/>
      <c r="C87" s="26"/>
      <c r="D87" s="47"/>
      <c r="E87" s="48"/>
      <c r="F87" s="48"/>
      <c r="G87" s="48"/>
      <c r="I87" s="144"/>
      <c r="L87" s="25"/>
      <c r="M87" s="26"/>
    </row>
    <row r="88" spans="1:13" s="24" customFormat="1" ht="12.75">
      <c r="A88" s="49" t="s">
        <v>13</v>
      </c>
      <c r="B88" s="25"/>
      <c r="C88" s="26"/>
      <c r="D88" s="47"/>
      <c r="E88" s="218">
        <v>0.04</v>
      </c>
      <c r="F88" s="48"/>
      <c r="G88" s="48"/>
      <c r="I88" s="144">
        <f>IF(E59=0,"-",ROUND(I86*E88,2))</f>
        <v>15388</v>
      </c>
      <c r="K88" s="49"/>
      <c r="L88" s="25"/>
      <c r="M88" s="26"/>
    </row>
    <row r="89" spans="1:13" s="24" customFormat="1" ht="3" customHeight="1">
      <c r="A89" s="50"/>
      <c r="B89" s="51"/>
      <c r="C89" s="52"/>
      <c r="D89" s="56"/>
      <c r="E89" s="219"/>
      <c r="F89" s="57"/>
      <c r="G89" s="57"/>
      <c r="H89" s="50"/>
      <c r="I89" s="146"/>
      <c r="L89" s="25"/>
      <c r="M89" s="26"/>
    </row>
    <row r="90" spans="1:13" s="24" customFormat="1" ht="3" customHeight="1">
      <c r="B90" s="25"/>
      <c r="C90" s="26"/>
      <c r="D90" s="58"/>
      <c r="E90" s="220"/>
      <c r="F90" s="65"/>
      <c r="G90" s="65"/>
      <c r="H90" s="59"/>
      <c r="I90" s="144"/>
      <c r="L90" s="25"/>
      <c r="M90" s="26"/>
    </row>
    <row r="91" spans="1:13" s="24" customFormat="1" ht="12.75">
      <c r="A91" s="53" t="s">
        <v>118</v>
      </c>
      <c r="B91" s="54"/>
      <c r="C91" s="55"/>
      <c r="D91" s="27"/>
      <c r="E91" s="217"/>
      <c r="F91" s="48"/>
      <c r="G91" s="48"/>
      <c r="I91" s="145">
        <f>I86+I88</f>
        <v>400097</v>
      </c>
      <c r="K91" s="53"/>
      <c r="L91" s="54"/>
      <c r="M91" s="55"/>
    </row>
    <row r="92" spans="1:13" s="24" customFormat="1" ht="12.75">
      <c r="A92" s="24" t="s">
        <v>14</v>
      </c>
      <c r="B92" s="25"/>
      <c r="C92" s="26"/>
      <c r="D92" s="27"/>
      <c r="E92" s="28">
        <v>0.2</v>
      </c>
      <c r="F92" s="28"/>
      <c r="G92" s="28"/>
      <c r="I92" s="144">
        <f>IF(E59=0,"-",ROUND(I91*E92,2))</f>
        <v>80019</v>
      </c>
      <c r="L92" s="25"/>
      <c r="M92" s="28"/>
    </row>
    <row r="93" spans="1:13" s="24" customFormat="1" ht="3" customHeight="1">
      <c r="B93" s="25"/>
      <c r="C93" s="26"/>
      <c r="D93" s="27"/>
      <c r="E93" s="48"/>
      <c r="F93" s="48"/>
      <c r="G93" s="48"/>
      <c r="I93" s="144"/>
      <c r="L93" s="25"/>
      <c r="M93" s="26"/>
    </row>
    <row r="94" spans="1:13" s="24" customFormat="1" ht="12.75">
      <c r="A94" s="184" t="s">
        <v>119</v>
      </c>
      <c r="B94" s="196"/>
      <c r="C94" s="185"/>
      <c r="D94" s="187"/>
      <c r="E94" s="188"/>
      <c r="F94" s="188"/>
      <c r="G94" s="188"/>
      <c r="H94" s="186"/>
      <c r="I94" s="197">
        <f>SUM(I90:I92)</f>
        <v>480116</v>
      </c>
      <c r="K94" s="53"/>
      <c r="L94" s="54"/>
      <c r="M94" s="55"/>
    </row>
    <row r="95" spans="1:13" ht="5.0999999999999996" customHeight="1"/>
    <row r="96" spans="1:13" s="198" customFormat="1" ht="12.75">
      <c r="A96" s="198" t="s">
        <v>106</v>
      </c>
      <c r="B96" s="199"/>
      <c r="E96" s="206">
        <f>I91/E35</f>
        <v>1.41E-2</v>
      </c>
      <c r="H96" s="200"/>
      <c r="I96" s="201"/>
      <c r="J96" s="201"/>
      <c r="K96" s="202"/>
      <c r="L96" s="202"/>
      <c r="M96" s="202"/>
    </row>
  </sheetData>
  <sheetProtection algorithmName="SHA-512" hashValue="rR66rW5NM8WYtV0aquhSOrQjfIzM+cQDJmkNFUq3fxtaN8BuavZqVKn1W1PgohB4ylRbCGDDzmxhQd1NwavR3Q==" saltValue="I2JjI8RQD3lJoRyp/eEmDQ==" spinCount="100000" sheet="1" objects="1" scenarios="1"/>
  <mergeCells count="13">
    <mergeCell ref="H2:I2"/>
    <mergeCell ref="A20:B20"/>
    <mergeCell ref="A22:B22"/>
    <mergeCell ref="A6:B6"/>
    <mergeCell ref="A8:B8"/>
    <mergeCell ref="A82:C82"/>
    <mergeCell ref="A33:B33"/>
    <mergeCell ref="H44:I44"/>
    <mergeCell ref="F61:I62"/>
    <mergeCell ref="A10:B10"/>
    <mergeCell ref="A31:B31"/>
    <mergeCell ref="A27:B27"/>
    <mergeCell ref="A29:B29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&amp;L&amp;"Arial,Fett"&amp;K01+018Angebot Generalplaner gesamt  (GP 2b + PL + ÖBA)
&amp;"Arial,Standard"(TA Anlagengruppen getrennt)
nach VM.GP.2023&amp;R&amp;"Arial,Standard"&amp;K01+019Version 2
Stand: 06.12.2023</oddHeader>
    <oddFooter>&amp;L&amp;"Arial,Fett"&amp;K01+030LM.VM.2023&amp;"Arial,Standard"  | &amp;A |  Angebotsformular&amp;R&amp;"Arial,Standard"&amp;K01+030&amp;P/&amp;N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49</xdr:row>
                    <xdr:rowOff>28575</xdr:rowOff>
                  </from>
                  <to>
                    <xdr:col>8</xdr:col>
                    <xdr:colOff>1019175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croll Bar 2">
              <controlPr defaultSize="0" autoPict="0">
                <anchor moveWithCells="1">
                  <from>
                    <xdr:col>7</xdr:col>
                    <xdr:colOff>38100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croll Bar 3">
              <controlPr defaultSize="0" autoPict="0">
                <anchor moveWithCells="1">
                  <from>
                    <xdr:col>7</xdr:col>
                    <xdr:colOff>38100</xdr:colOff>
                    <xdr:row>51</xdr:row>
                    <xdr:rowOff>28575</xdr:rowOff>
                  </from>
                  <to>
                    <xdr:col>8</xdr:col>
                    <xdr:colOff>1019175</xdr:colOff>
                    <xdr:row>51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croll Bar 4">
              <controlPr defaultSize="0" autoPict="0">
                <anchor moveWithCells="1">
                  <from>
                    <xdr:col>7</xdr:col>
                    <xdr:colOff>38100</xdr:colOff>
                    <xdr:row>52</xdr:row>
                    <xdr:rowOff>28575</xdr:rowOff>
                  </from>
                  <to>
                    <xdr:col>8</xdr:col>
                    <xdr:colOff>1019175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Scroll Bar 7">
              <controlPr defaultSize="0" autoPict="0">
                <anchor moveWithCells="1">
                  <from>
                    <xdr:col>7</xdr:col>
                    <xdr:colOff>38100</xdr:colOff>
                    <xdr:row>46</xdr:row>
                    <xdr:rowOff>28575</xdr:rowOff>
                  </from>
                  <to>
                    <xdr:col>8</xdr:col>
                    <xdr:colOff>1019175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Scroll Bar 8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Scroll Bar 9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7B81-2225-4509-8237-C192BD41BB8B}">
  <sheetPr>
    <tabColor theme="6"/>
  </sheetPr>
  <dimension ref="A1:M89"/>
  <sheetViews>
    <sheetView showGridLines="0" zoomScaleNormal="100" zoomScaleSheetLayoutView="85" workbookViewId="0">
      <selection activeCell="M46" sqref="M46"/>
    </sheetView>
  </sheetViews>
  <sheetFormatPr baseColWidth="10" defaultColWidth="5.7109375" defaultRowHeight="15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1" width="7.7109375" bestFit="1" customWidth="1"/>
    <col min="12" max="12" width="10.7109375" style="1" bestFit="1" customWidth="1"/>
    <col min="13" max="16384" width="5.7109375" style="1"/>
  </cols>
  <sheetData>
    <row r="1" spans="1:11" ht="5.0999999999999996" customHeight="1"/>
    <row r="2" spans="1:11" s="37" customFormat="1" ht="35.1" customHeight="1">
      <c r="A2" s="107" t="s">
        <v>107</v>
      </c>
      <c r="E2" s="38"/>
      <c r="F2" s="38"/>
      <c r="G2" s="38"/>
      <c r="H2" s="648" t="s">
        <v>261</v>
      </c>
      <c r="I2" s="648"/>
      <c r="J2" s="43"/>
      <c r="K2" s="39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1" s="10" customFormat="1" ht="6" customHeight="1">
      <c r="I4" s="2"/>
      <c r="J4" s="2"/>
    </row>
    <row r="5" spans="1:11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1" s="10" customFormat="1" ht="6" customHeight="1">
      <c r="E6" s="67"/>
      <c r="I6" s="2"/>
      <c r="J6" s="2"/>
    </row>
    <row r="7" spans="1:11" s="11" customFormat="1" ht="12.95" customHeight="1">
      <c r="A7" s="645">
        <v>1</v>
      </c>
      <c r="B7" s="645"/>
      <c r="C7" s="76" t="s">
        <v>0</v>
      </c>
      <c r="D7" s="135">
        <f>E7/$E$36</f>
        <v>1E-3</v>
      </c>
      <c r="E7" s="324">
        <f>_1</f>
        <v>15000</v>
      </c>
      <c r="F7" s="245"/>
      <c r="G7" s="245"/>
      <c r="H7" s="333">
        <v>0</v>
      </c>
      <c r="I7" s="334">
        <f>E7*H7</f>
        <v>0</v>
      </c>
      <c r="J7" s="34"/>
    </row>
    <row r="8" spans="1:11" ht="4.1500000000000004" customHeight="1">
      <c r="B8" s="4"/>
      <c r="D8" s="136"/>
      <c r="E8" s="312"/>
      <c r="F8" s="33"/>
      <c r="G8" s="33"/>
      <c r="H8" s="335"/>
      <c r="I8" s="336"/>
      <c r="J8" s="44"/>
    </row>
    <row r="9" spans="1:11" s="11" customFormat="1" ht="12.95" customHeight="1">
      <c r="A9" s="645">
        <v>2</v>
      </c>
      <c r="B9" s="645"/>
      <c r="C9" s="76" t="s">
        <v>1</v>
      </c>
      <c r="D9" s="135">
        <f>E9/$E$36</f>
        <v>0.316</v>
      </c>
      <c r="E9" s="324">
        <f>_2</f>
        <v>9000000</v>
      </c>
      <c r="F9" s="245"/>
      <c r="G9" s="245"/>
      <c r="H9" s="337">
        <v>1</v>
      </c>
      <c r="I9" s="338">
        <f>E9*H9</f>
        <v>9000000</v>
      </c>
      <c r="J9" s="34"/>
    </row>
    <row r="10" spans="1:11" ht="4.1500000000000004" customHeight="1">
      <c r="D10" s="136"/>
      <c r="E10" s="312"/>
      <c r="F10" s="33"/>
      <c r="G10" s="33"/>
      <c r="H10" s="335"/>
      <c r="I10" s="339"/>
      <c r="J10" s="34"/>
    </row>
    <row r="11" spans="1:11" s="10" customFormat="1" ht="12.95" customHeight="1">
      <c r="A11" s="645">
        <v>3</v>
      </c>
      <c r="B11" s="645"/>
      <c r="C11" s="76" t="s">
        <v>7</v>
      </c>
      <c r="D11" s="135">
        <f>E11/$E$36</f>
        <v>0</v>
      </c>
      <c r="E11" s="324">
        <v>0</v>
      </c>
      <c r="F11" s="245"/>
      <c r="G11" s="245"/>
      <c r="H11" s="335"/>
      <c r="I11" s="339"/>
      <c r="J11" s="34"/>
    </row>
    <row r="12" spans="1:11" ht="12.95" customHeight="1">
      <c r="A12" s="340">
        <v>3</v>
      </c>
      <c r="B12" s="341" t="s">
        <v>17</v>
      </c>
      <c r="C12" s="342" t="s">
        <v>18</v>
      </c>
      <c r="D12" s="137"/>
      <c r="E12" s="323">
        <f>_3.01</f>
        <v>900000</v>
      </c>
      <c r="F12" s="245"/>
      <c r="G12" s="245"/>
      <c r="H12" s="337">
        <v>1</v>
      </c>
      <c r="I12" s="338">
        <f t="shared" ref="I12:I19" si="0">E12*H12</f>
        <v>900000</v>
      </c>
      <c r="J12" s="34"/>
    </row>
    <row r="13" spans="1:11" ht="12.95" customHeight="1">
      <c r="A13" s="343">
        <v>3</v>
      </c>
      <c r="B13" s="344" t="s">
        <v>19</v>
      </c>
      <c r="C13" s="345" t="s">
        <v>26</v>
      </c>
      <c r="D13" s="138"/>
      <c r="E13" s="323">
        <f>_3.02</f>
        <v>1200000</v>
      </c>
      <c r="F13" s="245"/>
      <c r="G13" s="245"/>
      <c r="H13" s="337">
        <v>1</v>
      </c>
      <c r="I13" s="338">
        <f t="shared" si="0"/>
        <v>1200000</v>
      </c>
      <c r="J13" s="34"/>
    </row>
    <row r="14" spans="1:11" ht="12.95" customHeight="1">
      <c r="A14" s="343">
        <v>3</v>
      </c>
      <c r="B14" s="344" t="s">
        <v>20</v>
      </c>
      <c r="C14" s="345" t="s">
        <v>27</v>
      </c>
      <c r="D14" s="138"/>
      <c r="E14" s="323">
        <f>_3.03</f>
        <v>1000000</v>
      </c>
      <c r="F14" s="245"/>
      <c r="G14" s="245"/>
      <c r="H14" s="337">
        <v>1</v>
      </c>
      <c r="I14" s="338">
        <f t="shared" si="0"/>
        <v>1000000</v>
      </c>
      <c r="J14" s="34"/>
    </row>
    <row r="15" spans="1:11" ht="12.95" customHeight="1">
      <c r="A15" s="343">
        <v>3</v>
      </c>
      <c r="B15" s="344" t="s">
        <v>21</v>
      </c>
      <c r="C15" s="345" t="s">
        <v>28</v>
      </c>
      <c r="D15" s="138"/>
      <c r="E15" s="323">
        <f>_3.04</f>
        <v>1500000</v>
      </c>
      <c r="F15" s="245"/>
      <c r="G15" s="245"/>
      <c r="H15" s="337">
        <v>1</v>
      </c>
      <c r="I15" s="338">
        <f t="shared" si="0"/>
        <v>1500000</v>
      </c>
      <c r="J15" s="34"/>
    </row>
    <row r="16" spans="1:11" ht="12.95" customHeight="1">
      <c r="A16" s="343">
        <v>3</v>
      </c>
      <c r="B16" s="344" t="s">
        <v>22</v>
      </c>
      <c r="C16" s="345" t="s">
        <v>31</v>
      </c>
      <c r="D16" s="138"/>
      <c r="E16" s="323">
        <f>_3.05</f>
        <v>600000</v>
      </c>
      <c r="F16" s="245"/>
      <c r="G16" s="245"/>
      <c r="H16" s="337">
        <v>1</v>
      </c>
      <c r="I16" s="338">
        <f t="shared" si="0"/>
        <v>600000</v>
      </c>
      <c r="J16" s="34"/>
    </row>
    <row r="17" spans="1:10" ht="12.95" customHeight="1">
      <c r="A17" s="343">
        <v>3</v>
      </c>
      <c r="B17" s="344" t="s">
        <v>23</v>
      </c>
      <c r="C17" s="345" t="s">
        <v>29</v>
      </c>
      <c r="D17" s="138"/>
      <c r="E17" s="323">
        <f>_3.06</f>
        <v>150000</v>
      </c>
      <c r="F17" s="245"/>
      <c r="G17" s="245"/>
      <c r="H17" s="337">
        <v>1</v>
      </c>
      <c r="I17" s="338">
        <f t="shared" si="0"/>
        <v>150000</v>
      </c>
      <c r="J17" s="34"/>
    </row>
    <row r="18" spans="1:10" ht="12.95" customHeight="1">
      <c r="A18" s="343">
        <v>3</v>
      </c>
      <c r="B18" s="344" t="s">
        <v>24</v>
      </c>
      <c r="C18" s="345" t="s">
        <v>30</v>
      </c>
      <c r="D18" s="138"/>
      <c r="E18" s="323">
        <f>_3.07</f>
        <v>0</v>
      </c>
      <c r="F18" s="245"/>
      <c r="G18" s="245"/>
      <c r="H18" s="337">
        <v>1</v>
      </c>
      <c r="I18" s="338">
        <f t="shared" si="0"/>
        <v>0</v>
      </c>
      <c r="J18" s="34"/>
    </row>
    <row r="19" spans="1:10" ht="12.95" customHeight="1">
      <c r="A19" s="343">
        <v>3</v>
      </c>
      <c r="B19" s="344" t="s">
        <v>25</v>
      </c>
      <c r="C19" s="345" t="s">
        <v>8</v>
      </c>
      <c r="D19" s="138"/>
      <c r="E19" s="323">
        <f>_3.08</f>
        <v>300000</v>
      </c>
      <c r="F19" s="245"/>
      <c r="G19" s="245"/>
      <c r="H19" s="337">
        <v>1</v>
      </c>
      <c r="I19" s="338">
        <f t="shared" si="0"/>
        <v>300000</v>
      </c>
      <c r="J19" s="34"/>
    </row>
    <row r="20" spans="1:10" ht="4.1500000000000004" customHeight="1">
      <c r="D20" s="136"/>
      <c r="E20" s="346"/>
      <c r="F20" s="33"/>
      <c r="G20" s="33"/>
      <c r="H20" s="347"/>
      <c r="I20" s="339"/>
      <c r="J20" s="151"/>
    </row>
    <row r="21" spans="1:10" s="10" customFormat="1" ht="12.75" customHeight="1">
      <c r="A21" s="645">
        <v>4</v>
      </c>
      <c r="B21" s="645"/>
      <c r="C21" s="76" t="s">
        <v>2</v>
      </c>
      <c r="D21" s="135">
        <f>E21/$E$36</f>
        <v>0.21099999999999999</v>
      </c>
      <c r="E21" s="324">
        <f>_4</f>
        <v>6000000</v>
      </c>
      <c r="F21" s="245"/>
      <c r="G21" s="245"/>
      <c r="H21" s="337">
        <v>1</v>
      </c>
      <c r="I21" s="338">
        <f>E21*H21</f>
        <v>6000000</v>
      </c>
      <c r="J21" s="34"/>
    </row>
    <row r="22" spans="1:10" ht="4.1500000000000004" customHeight="1">
      <c r="B22" s="4"/>
      <c r="D22" s="136"/>
      <c r="E22" s="346"/>
      <c r="F22" s="33"/>
      <c r="G22" s="33"/>
      <c r="H22" s="335"/>
      <c r="I22" s="339"/>
      <c r="J22" s="33"/>
    </row>
    <row r="23" spans="1:10" s="11" customFormat="1" ht="12.95" customHeight="1">
      <c r="A23" s="645">
        <v>5</v>
      </c>
      <c r="B23" s="645"/>
      <c r="C23" s="76" t="s">
        <v>9</v>
      </c>
      <c r="D23" s="135">
        <f>E23/$E$36</f>
        <v>5.8000000000000003E-2</v>
      </c>
      <c r="E23" s="324">
        <f>_5</f>
        <v>1650000</v>
      </c>
      <c r="F23" s="245"/>
      <c r="G23" s="245"/>
      <c r="H23" s="335"/>
      <c r="I23" s="339"/>
      <c r="J23" s="34"/>
    </row>
    <row r="24" spans="1:10" ht="12.95" customHeight="1">
      <c r="A24" s="343">
        <v>5</v>
      </c>
      <c r="B24" s="348" t="s">
        <v>17</v>
      </c>
      <c r="C24" s="342" t="s">
        <v>126</v>
      </c>
      <c r="D24" s="137"/>
      <c r="E24" s="323">
        <f>_5.01</f>
        <v>600000</v>
      </c>
      <c r="F24" s="245"/>
      <c r="G24" s="245"/>
      <c r="H24" s="337">
        <v>1</v>
      </c>
      <c r="I24" s="338">
        <f>H24*E24</f>
        <v>600000</v>
      </c>
      <c r="J24" s="34"/>
    </row>
    <row r="25" spans="1:10" ht="12.95" customHeight="1">
      <c r="A25" s="343">
        <v>5</v>
      </c>
      <c r="B25" s="349" t="s">
        <v>19</v>
      </c>
      <c r="C25" s="350" t="s">
        <v>127</v>
      </c>
      <c r="D25" s="247"/>
      <c r="E25" s="323">
        <f>_5.02</f>
        <v>1000000</v>
      </c>
      <c r="F25" s="245"/>
      <c r="G25" s="245"/>
      <c r="H25" s="337">
        <v>0.6</v>
      </c>
      <c r="I25" s="338">
        <f>H25*E25</f>
        <v>600000</v>
      </c>
      <c r="J25" s="34"/>
    </row>
    <row r="26" spans="1:10" ht="12.95" customHeight="1">
      <c r="A26" s="343">
        <v>5</v>
      </c>
      <c r="B26" s="349" t="s">
        <v>20</v>
      </c>
      <c r="C26" s="345" t="s">
        <v>52</v>
      </c>
      <c r="D26" s="138"/>
      <c r="E26" s="323">
        <f>_5.03</f>
        <v>50000</v>
      </c>
      <c r="F26" s="245"/>
      <c r="G26" s="245"/>
      <c r="H26" s="337">
        <v>0</v>
      </c>
      <c r="I26" s="338">
        <f>E26*H26</f>
        <v>0</v>
      </c>
      <c r="J26" s="34"/>
    </row>
    <row r="27" spans="1:10" ht="4.1500000000000004" customHeight="1">
      <c r="D27" s="136"/>
      <c r="E27" s="346"/>
      <c r="F27" s="33"/>
      <c r="G27" s="33"/>
      <c r="H27" s="335"/>
      <c r="I27" s="339"/>
      <c r="J27" s="34"/>
    </row>
    <row r="28" spans="1:10" s="10" customFormat="1" ht="12.95" customHeight="1">
      <c r="A28" s="645">
        <v>6</v>
      </c>
      <c r="B28" s="645"/>
      <c r="C28" s="76" t="s">
        <v>3</v>
      </c>
      <c r="D28" s="135">
        <f>E28/$E$36</f>
        <v>1.7999999999999999E-2</v>
      </c>
      <c r="E28" s="324">
        <f>_6</f>
        <v>500000</v>
      </c>
      <c r="F28" s="245"/>
      <c r="G28" s="245"/>
      <c r="H28" s="351">
        <v>1</v>
      </c>
      <c r="I28" s="338">
        <f>E28*H28</f>
        <v>500000</v>
      </c>
      <c r="J28" s="34"/>
    </row>
    <row r="29" spans="1:10" ht="4.1500000000000004" customHeight="1">
      <c r="B29" s="13"/>
      <c r="D29" s="139"/>
      <c r="E29" s="352"/>
      <c r="F29" s="33"/>
      <c r="G29" s="33"/>
      <c r="H29" s="335"/>
      <c r="I29" s="339"/>
      <c r="J29" s="34"/>
    </row>
    <row r="30" spans="1:10" s="11" customFormat="1" ht="12.95" customHeight="1">
      <c r="A30" s="645">
        <v>7</v>
      </c>
      <c r="B30" s="645"/>
      <c r="C30" s="76" t="s">
        <v>128</v>
      </c>
      <c r="D30" s="135">
        <f>E30/$E$36</f>
        <v>0.14099999999999999</v>
      </c>
      <c r="E30" s="324">
        <f>_7</f>
        <v>4000000</v>
      </c>
      <c r="F30" s="245"/>
      <c r="G30" s="245"/>
      <c r="H30" s="337">
        <v>0</v>
      </c>
      <c r="I30" s="338">
        <f>E30*H30</f>
        <v>0</v>
      </c>
      <c r="J30" s="34"/>
    </row>
    <row r="31" spans="1:10" ht="4.1500000000000004" customHeight="1">
      <c r="D31" s="139"/>
      <c r="E31" s="352"/>
      <c r="F31" s="33"/>
      <c r="G31" s="33"/>
      <c r="H31" s="335"/>
      <c r="I31" s="339"/>
      <c r="J31" s="34"/>
    </row>
    <row r="32" spans="1:10" s="11" customFormat="1" ht="12.95" customHeight="1">
      <c r="A32" s="645">
        <v>8</v>
      </c>
      <c r="B32" s="645"/>
      <c r="C32" s="76" t="s">
        <v>129</v>
      </c>
      <c r="D32" s="135">
        <f>E32/$E$36</f>
        <v>1E-3</v>
      </c>
      <c r="E32" s="324">
        <f>_8</f>
        <v>36000</v>
      </c>
      <c r="F32" s="245"/>
      <c r="G32" s="245"/>
      <c r="H32" s="351">
        <v>0</v>
      </c>
      <c r="I32" s="338">
        <f>E32*H32</f>
        <v>0</v>
      </c>
      <c r="J32" s="34"/>
    </row>
    <row r="33" spans="1:12" ht="4.1500000000000004" customHeight="1">
      <c r="D33" s="139"/>
      <c r="E33" s="352"/>
      <c r="F33" s="33"/>
      <c r="G33" s="33"/>
      <c r="H33" s="347"/>
      <c r="I33" s="339"/>
      <c r="J33" s="151"/>
    </row>
    <row r="34" spans="1:12" s="11" customFormat="1" ht="12.95" customHeight="1">
      <c r="A34" s="645">
        <v>9</v>
      </c>
      <c r="B34" s="645"/>
      <c r="C34" s="76" t="s">
        <v>10</v>
      </c>
      <c r="D34" s="135">
        <f>E34/$E$36</f>
        <v>5.6000000000000001E-2</v>
      </c>
      <c r="E34" s="324">
        <f>_9</f>
        <v>1600000</v>
      </c>
      <c r="F34" s="245"/>
      <c r="G34" s="245"/>
      <c r="H34" s="351">
        <v>0.4</v>
      </c>
      <c r="I34" s="338">
        <f>E34*H34</f>
        <v>640000</v>
      </c>
      <c r="J34" s="34"/>
    </row>
    <row r="35" spans="1:12" ht="9.9499999999999993" customHeight="1">
      <c r="B35" s="13"/>
      <c r="D35" s="32"/>
      <c r="E35" s="352"/>
      <c r="F35" s="33"/>
      <c r="G35" s="33"/>
      <c r="H35" s="227"/>
      <c r="I35" s="227"/>
      <c r="J35" s="1"/>
    </row>
    <row r="36" spans="1:12" ht="12.95" customHeight="1">
      <c r="A36" s="66" t="s">
        <v>12</v>
      </c>
      <c r="B36" s="63"/>
      <c r="C36" s="63"/>
      <c r="D36" s="71">
        <f>SUM(D7:D34)</f>
        <v>0.8</v>
      </c>
      <c r="E36" s="307">
        <f>_EK</f>
        <v>28451000</v>
      </c>
      <c r="F36" s="245"/>
      <c r="G36" s="245"/>
      <c r="H36" s="245"/>
      <c r="I36" s="307">
        <f>SUBTOTAL(9,I7:I34)</f>
        <v>22990000</v>
      </c>
      <c r="J36" s="23"/>
    </row>
    <row r="37" spans="1:12" ht="4.1500000000000004" customHeight="1">
      <c r="B37" s="248"/>
      <c r="D37" s="32"/>
      <c r="E37" s="352"/>
      <c r="F37" s="33"/>
      <c r="G37" s="33"/>
      <c r="H37" s="240"/>
      <c r="I37" s="237"/>
      <c r="J37" s="1"/>
      <c r="K37" s="1"/>
    </row>
    <row r="38" spans="1:12" s="10" customFormat="1" ht="12.95" customHeight="1">
      <c r="A38" s="306"/>
      <c r="B38" s="75" t="s">
        <v>159</v>
      </c>
      <c r="C38" s="76"/>
      <c r="D38" s="135"/>
      <c r="E38" s="324">
        <f>_mvB</f>
        <v>120000</v>
      </c>
      <c r="F38" s="245"/>
      <c r="G38" s="245"/>
      <c r="H38" s="351">
        <v>1</v>
      </c>
      <c r="I38" s="338">
        <f>E38*H38</f>
        <v>120000</v>
      </c>
    </row>
    <row r="39" spans="1:12" ht="9.9499999999999993" customHeight="1">
      <c r="B39" s="248"/>
      <c r="D39" s="32"/>
      <c r="E39" s="110"/>
    </row>
    <row r="40" spans="1:12" s="112" customFormat="1" ht="12.95" customHeight="1">
      <c r="A40" s="191" t="s">
        <v>32</v>
      </c>
      <c r="B40" s="192"/>
      <c r="C40" s="192"/>
      <c r="D40" s="192"/>
      <c r="E40" s="192"/>
      <c r="F40" s="192"/>
      <c r="G40" s="192"/>
      <c r="H40" s="193"/>
      <c r="I40" s="353">
        <f>I36+I38</f>
        <v>23110000</v>
      </c>
      <c r="J40" s="559"/>
      <c r="K40" s="570"/>
      <c r="L40" s="570"/>
    </row>
    <row r="41" spans="1:12" ht="15" customHeight="1"/>
    <row r="42" spans="1:12" ht="12.75" customHeight="1">
      <c r="A42" s="154" t="s">
        <v>150</v>
      </c>
      <c r="B42" s="154"/>
      <c r="C42" s="155"/>
      <c r="D42" s="155"/>
      <c r="E42" s="155"/>
      <c r="F42" s="155"/>
      <c r="G42" s="155"/>
      <c r="H42" s="154"/>
      <c r="I42" s="250"/>
      <c r="J42" s="157"/>
    </row>
    <row r="43" spans="1:12" ht="6.75" customHeight="1">
      <c r="A43" s="156"/>
      <c r="B43" s="156"/>
      <c r="C43" s="156"/>
      <c r="D43" s="156"/>
      <c r="E43" s="156"/>
      <c r="F43" s="156"/>
      <c r="G43" s="156"/>
      <c r="I43" s="177"/>
    </row>
    <row r="44" spans="1:12" ht="12.75" customHeight="1">
      <c r="A44" s="157" t="s">
        <v>78</v>
      </c>
      <c r="B44" s="156"/>
      <c r="C44" s="156"/>
      <c r="D44" s="156"/>
      <c r="E44" s="156"/>
      <c r="F44" s="156"/>
      <c r="G44" s="156"/>
      <c r="I44" s="177"/>
    </row>
    <row r="45" spans="1:12" ht="12.75" customHeight="1">
      <c r="A45" s="19"/>
      <c r="B45" s="19"/>
      <c r="E45" s="158" t="s">
        <v>5</v>
      </c>
      <c r="F45" s="159" t="s">
        <v>4</v>
      </c>
      <c r="G45" s="159"/>
      <c r="H45" s="646" t="s">
        <v>169</v>
      </c>
      <c r="I45" s="646"/>
      <c r="J45" s="241"/>
    </row>
    <row r="46" spans="1:12" ht="12.75" customHeight="1">
      <c r="B46" s="20" t="s">
        <v>46</v>
      </c>
      <c r="C46" s="35"/>
      <c r="D46" s="35"/>
      <c r="E46" s="318">
        <v>8</v>
      </c>
      <c r="F46" s="160" t="s">
        <v>33</v>
      </c>
      <c r="G46" s="159"/>
      <c r="H46" s="305"/>
      <c r="I46" s="304"/>
      <c r="J46" s="40"/>
    </row>
    <row r="47" spans="1:12" ht="12.75" customHeight="1">
      <c r="B47" s="21" t="s">
        <v>47</v>
      </c>
      <c r="C47" s="36"/>
      <c r="D47" s="36"/>
      <c r="E47" s="118">
        <v>1</v>
      </c>
      <c r="F47" s="161" t="s">
        <v>6</v>
      </c>
      <c r="G47" s="159"/>
      <c r="H47" s="299"/>
      <c r="I47" s="303"/>
      <c r="J47" s="40"/>
    </row>
    <row r="48" spans="1:12" ht="12.75" customHeight="1">
      <c r="B48" s="21" t="s">
        <v>48</v>
      </c>
      <c r="C48" s="36"/>
      <c r="D48" s="36"/>
      <c r="E48" s="354">
        <v>1</v>
      </c>
      <c r="F48" s="161" t="s">
        <v>6</v>
      </c>
      <c r="G48" s="159"/>
      <c r="H48" s="299"/>
      <c r="I48" s="303"/>
      <c r="J48" s="40"/>
    </row>
    <row r="49" spans="1:11" ht="12.75" customHeight="1">
      <c r="B49" s="21" t="s">
        <v>49</v>
      </c>
      <c r="C49" s="36"/>
      <c r="D49" s="36"/>
      <c r="E49" s="118">
        <v>1</v>
      </c>
      <c r="F49" s="161" t="s">
        <v>6</v>
      </c>
      <c r="G49" s="159"/>
      <c r="H49" s="299"/>
      <c r="I49" s="303"/>
      <c r="J49" s="40"/>
    </row>
    <row r="50" spans="1:11" ht="4.5" customHeight="1">
      <c r="A50" s="19"/>
      <c r="B50" s="19"/>
      <c r="C50" s="164"/>
      <c r="D50" s="164"/>
      <c r="E50" s="164"/>
      <c r="F50" s="164"/>
      <c r="G50" s="164"/>
      <c r="I50" s="238"/>
      <c r="J50" s="1"/>
    </row>
    <row r="51" spans="1:11" ht="12.75" customHeight="1">
      <c r="B51" s="19" t="s">
        <v>45</v>
      </c>
      <c r="C51" s="163"/>
      <c r="D51" s="164"/>
      <c r="E51" s="165">
        <f>SUM(E46:E49)</f>
        <v>11</v>
      </c>
      <c r="F51" s="164"/>
      <c r="G51" s="164"/>
      <c r="I51" s="238"/>
      <c r="J51" s="1"/>
    </row>
    <row r="52" spans="1:11" ht="12.95" customHeight="1">
      <c r="B52" s="19"/>
      <c r="C52" s="164"/>
      <c r="D52" s="164"/>
      <c r="E52" s="164"/>
      <c r="F52" s="164"/>
      <c r="G52" s="164"/>
      <c r="I52" s="238"/>
      <c r="J52" s="1"/>
    </row>
    <row r="53" spans="1:11" ht="12.95" customHeight="1">
      <c r="A53" s="157" t="s">
        <v>15</v>
      </c>
      <c r="B53" s="157"/>
      <c r="C53" s="156"/>
      <c r="D53" s="156"/>
      <c r="E53" s="156"/>
      <c r="F53" s="156"/>
      <c r="G53" s="156"/>
      <c r="H53" s="251"/>
      <c r="I53" s="1"/>
    </row>
    <row r="54" spans="1:11" ht="4.5" customHeight="1">
      <c r="A54" s="157"/>
      <c r="B54" s="157"/>
      <c r="C54" s="157"/>
      <c r="I54" s="1"/>
    </row>
    <row r="55" spans="1:11" ht="12.75" customHeight="1">
      <c r="A55" s="166" t="s">
        <v>11</v>
      </c>
      <c r="B55" s="166"/>
      <c r="E55" s="195">
        <f>I40</f>
        <v>23110000</v>
      </c>
      <c r="I55" s="1"/>
    </row>
    <row r="56" spans="1:11" ht="4.1500000000000004" customHeight="1">
      <c r="A56" s="19"/>
      <c r="B56" s="19"/>
      <c r="C56" s="19"/>
      <c r="D56" s="19"/>
      <c r="E56" s="163"/>
      <c r="I56"/>
    </row>
    <row r="57" spans="1:11" s="110" customFormat="1" ht="13.15" customHeight="1">
      <c r="A57" s="19" t="s">
        <v>90</v>
      </c>
      <c r="B57" s="19"/>
      <c r="E57" s="100">
        <f>0.02*E51+0.92</f>
        <v>1.1399999999999999</v>
      </c>
      <c r="F57" s="649" t="str">
        <f>IF(I40&lt;500000,"! gemäß BKG.9b: Ist die Bemessungsgrundlage niedriger als 500.00 €, sollte der Ermittlungsweg Abschätzen des Personalaufwandes gewählt werden","")</f>
        <v/>
      </c>
      <c r="G57" s="649"/>
      <c r="H57" s="649"/>
      <c r="I57" s="649"/>
      <c r="J57" s="252"/>
      <c r="K57" s="116"/>
    </row>
    <row r="58" spans="1:11" ht="4.1500000000000004" customHeight="1">
      <c r="A58" s="19"/>
      <c r="B58" s="19"/>
      <c r="E58" s="29"/>
      <c r="F58" s="649"/>
      <c r="G58" s="649"/>
      <c r="H58" s="649"/>
      <c r="I58" s="649"/>
    </row>
    <row r="59" spans="1:11" s="110" customFormat="1" ht="18" customHeight="1">
      <c r="A59" s="19" t="s">
        <v>91</v>
      </c>
      <c r="B59" s="19"/>
      <c r="E59" s="297">
        <f>ROUND(4.6*E55^(-0.15)*E57/100,6)</f>
        <v>4.1219999999999998E-3</v>
      </c>
      <c r="F59" s="649"/>
      <c r="G59" s="649"/>
      <c r="H59" s="649"/>
      <c r="I59" s="649"/>
      <c r="J59" s="252"/>
      <c r="K59" s="116"/>
    </row>
    <row r="60" spans="1:11" ht="12.75" customHeight="1">
      <c r="A60" s="33" t="s">
        <v>131</v>
      </c>
      <c r="B60" s="19"/>
      <c r="C60" s="163"/>
      <c r="D60" s="164"/>
      <c r="E60" s="639">
        <v>0</v>
      </c>
      <c r="F60" s="649"/>
      <c r="G60" s="649"/>
      <c r="H60" s="649"/>
      <c r="I60" s="649"/>
      <c r="J60" s="1"/>
      <c r="K60" s="1"/>
    </row>
    <row r="61" spans="1:11" ht="4.1500000000000004" customHeight="1">
      <c r="A61" s="19"/>
      <c r="B61" s="19"/>
      <c r="E61" s="167"/>
      <c r="F61" s="167"/>
      <c r="G61" s="167"/>
      <c r="I61"/>
    </row>
    <row r="62" spans="1:11" ht="15" customHeight="1">
      <c r="A62" s="22" t="s">
        <v>132</v>
      </c>
      <c r="B62" s="20"/>
      <c r="C62" s="168"/>
      <c r="D62" s="168"/>
      <c r="E62" s="169"/>
      <c r="F62" s="253">
        <f>E55*E59*(1+E60)</f>
        <v>95259</v>
      </c>
      <c r="G62" s="235"/>
      <c r="I62" s="1"/>
    </row>
    <row r="63" spans="1:11" ht="4.1500000000000004" customHeight="1">
      <c r="A63" s="24"/>
      <c r="B63" s="19"/>
      <c r="C63" s="156"/>
      <c r="D63" s="156"/>
      <c r="E63" s="170"/>
      <c r="F63" s="355"/>
      <c r="G63" s="170"/>
      <c r="I63" s="30"/>
    </row>
    <row r="64" spans="1:11" ht="12.95" customHeight="1">
      <c r="A64" s="24"/>
      <c r="B64" s="19"/>
      <c r="C64" s="156"/>
      <c r="D64" s="296" t="s">
        <v>147</v>
      </c>
      <c r="E64" s="158" t="s">
        <v>5</v>
      </c>
      <c r="F64" s="170"/>
      <c r="G64" s="560"/>
      <c r="H64" s="162"/>
      <c r="I64" s="30"/>
    </row>
    <row r="65" spans="1:13" ht="12.75" customHeight="1">
      <c r="A65" s="156" t="s">
        <v>53</v>
      </c>
      <c r="B65" s="156"/>
      <c r="D65" s="273">
        <v>0.02</v>
      </c>
      <c r="E65" s="222">
        <v>0.02</v>
      </c>
      <c r="F65" s="177">
        <f>$F$62*E65</f>
        <v>1905</v>
      </c>
      <c r="G65" s="295"/>
      <c r="H65" s="561"/>
      <c r="I65" s="177"/>
    </row>
    <row r="66" spans="1:13" ht="12.75" customHeight="1">
      <c r="A66" s="156" t="s">
        <v>35</v>
      </c>
      <c r="B66" s="156"/>
      <c r="D66" s="273">
        <v>0.04</v>
      </c>
      <c r="E66" s="223">
        <v>0.04</v>
      </c>
      <c r="F66" s="177">
        <f t="shared" ref="F66:F74" si="1">$F$62*E66</f>
        <v>3810</v>
      </c>
      <c r="G66" s="294"/>
      <c r="H66" s="562"/>
      <c r="I66" s="177"/>
    </row>
    <row r="67" spans="1:13" ht="12.75" customHeight="1">
      <c r="A67" s="156" t="s">
        <v>36</v>
      </c>
      <c r="B67" s="156"/>
      <c r="D67" s="273">
        <v>0.06</v>
      </c>
      <c r="E67" s="223">
        <v>0.06</v>
      </c>
      <c r="F67" s="177">
        <f t="shared" si="1"/>
        <v>5716</v>
      </c>
      <c r="G67" s="294"/>
      <c r="H67" s="562"/>
      <c r="I67" s="177"/>
    </row>
    <row r="68" spans="1:13" ht="12.75" customHeight="1">
      <c r="A68" s="156" t="s">
        <v>37</v>
      </c>
      <c r="B68" s="156"/>
      <c r="D68" s="273">
        <v>0.04</v>
      </c>
      <c r="E68" s="223">
        <v>0.04</v>
      </c>
      <c r="F68" s="177">
        <f t="shared" si="1"/>
        <v>3810</v>
      </c>
      <c r="G68" s="294"/>
      <c r="H68" s="562"/>
      <c r="I68" s="177"/>
    </row>
    <row r="69" spans="1:13" ht="12.75" customHeight="1">
      <c r="A69" s="156" t="s">
        <v>38</v>
      </c>
      <c r="B69" s="156"/>
      <c r="D69" s="273">
        <v>0.1</v>
      </c>
      <c r="E69" s="223">
        <v>0.1</v>
      </c>
      <c r="F69" s="177">
        <f t="shared" si="1"/>
        <v>9526</v>
      </c>
      <c r="G69" s="294"/>
      <c r="H69" s="562"/>
      <c r="I69" s="177"/>
    </row>
    <row r="70" spans="1:13" ht="12.75" customHeight="1">
      <c r="A70" s="156" t="s">
        <v>39</v>
      </c>
      <c r="B70" s="156"/>
      <c r="D70" s="273">
        <v>0.03</v>
      </c>
      <c r="E70" s="223">
        <v>0.03</v>
      </c>
      <c r="F70" s="177">
        <f t="shared" si="1"/>
        <v>2858</v>
      </c>
      <c r="G70" s="295"/>
      <c r="H70" s="561"/>
      <c r="I70" s="177"/>
    </row>
    <row r="71" spans="1:13" ht="12.75" customHeight="1">
      <c r="A71" s="156" t="s">
        <v>40</v>
      </c>
      <c r="B71" s="156"/>
      <c r="D71" s="273">
        <v>0.01</v>
      </c>
      <c r="E71" s="223">
        <v>0.01</v>
      </c>
      <c r="F71" s="177">
        <f t="shared" si="1"/>
        <v>953</v>
      </c>
      <c r="G71" s="294"/>
      <c r="H71" s="562"/>
      <c r="I71" s="177"/>
    </row>
    <row r="72" spans="1:13" ht="12.75" customHeight="1">
      <c r="A72" s="156" t="s">
        <v>54</v>
      </c>
      <c r="B72" s="156"/>
      <c r="D72" s="273">
        <v>0</v>
      </c>
      <c r="E72" s="223">
        <v>0</v>
      </c>
      <c r="F72" s="177">
        <f t="shared" si="1"/>
        <v>0</v>
      </c>
      <c r="G72" s="294"/>
      <c r="H72" s="562"/>
      <c r="I72" s="177"/>
    </row>
    <row r="73" spans="1:13" ht="12.75" customHeight="1">
      <c r="A73" s="156" t="s">
        <v>92</v>
      </c>
      <c r="B73" s="156"/>
      <c r="D73" s="273">
        <v>0.7</v>
      </c>
      <c r="E73" s="223">
        <v>0.7</v>
      </c>
      <c r="F73" s="177">
        <f t="shared" si="1"/>
        <v>66681</v>
      </c>
      <c r="G73" s="294"/>
      <c r="H73" s="562"/>
      <c r="I73" s="177"/>
    </row>
    <row r="74" spans="1:13" ht="12.75" customHeight="1">
      <c r="A74" s="168" t="s">
        <v>55</v>
      </c>
      <c r="B74" s="168"/>
      <c r="C74" s="35"/>
      <c r="D74" s="274">
        <v>0</v>
      </c>
      <c r="E74" s="224">
        <v>0</v>
      </c>
      <c r="F74" s="178">
        <f t="shared" si="1"/>
        <v>0</v>
      </c>
      <c r="G74" s="293"/>
      <c r="H74" s="563"/>
      <c r="I74" s="178"/>
    </row>
    <row r="75" spans="1:13" ht="13.5" customHeight="1">
      <c r="A75" s="175" t="s">
        <v>44</v>
      </c>
      <c r="B75" s="156"/>
      <c r="D75" s="273">
        <f>SUM(D65:D74)</f>
        <v>1</v>
      </c>
      <c r="E75" s="225">
        <f>SUM(E65:E74)</f>
        <v>1</v>
      </c>
      <c r="F75" s="179">
        <f>SUM(F65:F74)</f>
        <v>95259</v>
      </c>
      <c r="G75" s="179"/>
      <c r="I75" s="254">
        <f>F75</f>
        <v>95259</v>
      </c>
    </row>
    <row r="76" spans="1:13" ht="12.75" customHeight="1">
      <c r="A76" s="175"/>
      <c r="B76" s="19"/>
      <c r="D76" s="172"/>
      <c r="E76" s="172"/>
      <c r="F76" s="179"/>
      <c r="G76" s="8"/>
      <c r="I76" s="356"/>
      <c r="J76" s="1"/>
      <c r="K76" s="1"/>
    </row>
    <row r="77" spans="1:13" ht="12.75" customHeight="1">
      <c r="A77" s="33" t="s">
        <v>123</v>
      </c>
      <c r="E77" s="357">
        <v>0</v>
      </c>
      <c r="F77" s="229">
        <v>0</v>
      </c>
      <c r="G77" s="571"/>
      <c r="I77" s="235">
        <f>E77*F77</f>
        <v>0</v>
      </c>
      <c r="L77"/>
      <c r="M77"/>
    </row>
    <row r="78" spans="1:13" ht="4.1500000000000004" customHeight="1">
      <c r="E78" s="32"/>
      <c r="I78"/>
    </row>
    <row r="79" spans="1:13" s="24" customFormat="1" ht="12.75">
      <c r="A79" s="94" t="s">
        <v>133</v>
      </c>
      <c r="B79" s="95"/>
      <c r="C79" s="96"/>
      <c r="D79" s="98"/>
      <c r="E79" s="226"/>
      <c r="F79" s="97"/>
      <c r="G79" s="97"/>
      <c r="H79" s="97"/>
      <c r="I79" s="99">
        <f>I75+I77</f>
        <v>95259</v>
      </c>
      <c r="K79" s="61"/>
    </row>
    <row r="80" spans="1:13" s="24" customFormat="1" ht="4.5" customHeight="1">
      <c r="B80" s="25"/>
      <c r="C80" s="26"/>
      <c r="D80" s="47"/>
      <c r="E80" s="217"/>
      <c r="F80" s="48"/>
      <c r="G80" s="48"/>
      <c r="I80" s="91"/>
      <c r="K80" s="25"/>
    </row>
    <row r="81" spans="1:12" s="24" customFormat="1" ht="12.75">
      <c r="A81" s="49" t="s">
        <v>13</v>
      </c>
      <c r="B81" s="25"/>
      <c r="C81" s="26"/>
      <c r="D81" s="47"/>
      <c r="E81" s="218">
        <v>0.04</v>
      </c>
      <c r="F81" s="48"/>
      <c r="G81" s="48"/>
      <c r="I81" s="91">
        <f>ROUND(I79*E81,2)</f>
        <v>3810</v>
      </c>
      <c r="K81" s="25"/>
      <c r="L81" s="91"/>
    </row>
    <row r="82" spans="1:12" s="24" customFormat="1" ht="3" customHeight="1">
      <c r="A82" s="50"/>
      <c r="B82" s="51"/>
      <c r="C82" s="52"/>
      <c r="D82" s="56"/>
      <c r="E82" s="219"/>
      <c r="F82" s="57"/>
      <c r="G82" s="57"/>
      <c r="H82" s="50"/>
      <c r="I82" s="93"/>
      <c r="K82" s="25"/>
    </row>
    <row r="83" spans="1:12" s="24" customFormat="1" ht="3" customHeight="1">
      <c r="B83" s="25"/>
      <c r="C83" s="26"/>
      <c r="D83" s="27"/>
      <c r="E83" s="217"/>
      <c r="F83" s="48"/>
      <c r="G83" s="48"/>
      <c r="I83" s="91"/>
      <c r="K83" s="25"/>
    </row>
    <row r="84" spans="1:12" s="24" customFormat="1" ht="12.75">
      <c r="A84" s="53" t="s">
        <v>134</v>
      </c>
      <c r="B84" s="54"/>
      <c r="C84" s="55"/>
      <c r="D84" s="27"/>
      <c r="E84" s="217"/>
      <c r="F84" s="48"/>
      <c r="G84" s="48"/>
      <c r="I84" s="92">
        <f>I79+I81</f>
        <v>99069</v>
      </c>
      <c r="K84" s="54"/>
    </row>
    <row r="85" spans="1:12" s="24" customFormat="1" ht="12.75">
      <c r="A85" s="24" t="s">
        <v>14</v>
      </c>
      <c r="B85" s="25"/>
      <c r="C85" s="26"/>
      <c r="D85" s="27"/>
      <c r="E85" s="28">
        <v>0.2</v>
      </c>
      <c r="F85" s="28"/>
      <c r="G85" s="28"/>
      <c r="I85" s="91">
        <f>ROUND(I84*E85,2)</f>
        <v>19814</v>
      </c>
      <c r="K85" s="25"/>
    </row>
    <row r="86" spans="1:12" s="24" customFormat="1" ht="3" customHeight="1">
      <c r="B86" s="25"/>
      <c r="C86" s="26"/>
      <c r="D86" s="27"/>
      <c r="E86" s="48"/>
      <c r="F86" s="48"/>
      <c r="G86" s="48"/>
      <c r="I86" s="91"/>
      <c r="K86" s="25"/>
    </row>
    <row r="87" spans="1:12" s="24" customFormat="1" ht="12.75">
      <c r="A87" s="184" t="s">
        <v>135</v>
      </c>
      <c r="B87" s="196"/>
      <c r="C87" s="185"/>
      <c r="D87" s="187"/>
      <c r="E87" s="188"/>
      <c r="F87" s="188"/>
      <c r="G87" s="188"/>
      <c r="H87" s="186"/>
      <c r="I87" s="189">
        <f>SUM(I84:I85)</f>
        <v>118883</v>
      </c>
      <c r="K87" s="54"/>
    </row>
    <row r="88" spans="1:12" ht="5.0999999999999996" customHeight="1"/>
    <row r="89" spans="1:12">
      <c r="A89" s="198" t="s">
        <v>106</v>
      </c>
      <c r="E89" s="255">
        <f>I84/E36</f>
        <v>3.4819999999999999E-3</v>
      </c>
    </row>
  </sheetData>
  <sheetProtection algorithmName="SHA-512" hashValue="KmadVgUvDEk5yIb04Oa2Y7NwVv+k1p5sZiGUgJIlkZhNOiYAApLIZXrLrqM1df7Tt90UfHSVCv/egyGpTJ8SIA==" saltValue="WzV0upDZ+harYoJ+kIbF4g==" spinCount="100000" sheet="1" objects="1" scenarios="1"/>
  <mergeCells count="12">
    <mergeCell ref="F57:I60"/>
    <mergeCell ref="H2:I2"/>
    <mergeCell ref="A7:B7"/>
    <mergeCell ref="A9:B9"/>
    <mergeCell ref="A11:B11"/>
    <mergeCell ref="A21:B21"/>
    <mergeCell ref="A23:B23"/>
    <mergeCell ref="A28:B28"/>
    <mergeCell ref="A30:B30"/>
    <mergeCell ref="A32:B32"/>
    <mergeCell ref="A34:B34"/>
    <mergeCell ref="H45:I45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&amp;L&amp;"Arial,Fett"&amp;K01+042Angebot Planungskoordination 2.b, Baukoordination 2.c&amp;"Arial,Standard"
nach VM.BKG.2023&amp;R&amp;"Arial,Standard"&amp;K01+042Version 1
Stand: 15.09.2023</oddHeader>
    <oddFooter>&amp;L&amp;"Arial,Fett"&amp;K01+045LM.VM.2023&amp;"Arial,Standard"  |  BauKG  |  Angebotsformular&amp;R&amp;"Arial,Standard"&amp;K01+045&amp;P/&amp;N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Scroll Bar 1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Scroll Bar 2">
              <controlPr defaultSize="0" autoPict="0">
                <anchor moveWithCells="1">
                  <from>
                    <xdr:col>7</xdr:col>
                    <xdr:colOff>19050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Scroll Bar 4">
              <controlPr defaultSize="0" autoPict="0">
                <anchor moveWithCells="1">
                  <from>
                    <xdr:col>7</xdr:col>
                    <xdr:colOff>19050</xdr:colOff>
                    <xdr:row>48</xdr:row>
                    <xdr:rowOff>28575</xdr:rowOff>
                  </from>
                  <to>
                    <xdr:col>8</xdr:col>
                    <xdr:colOff>1028700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4E18-495F-452C-AFBC-D1697776F6F0}">
  <sheetPr>
    <tabColor theme="6"/>
  </sheetPr>
  <dimension ref="A1:K100"/>
  <sheetViews>
    <sheetView showGridLines="0" topLeftCell="A59" zoomScaleNormal="100" zoomScaleSheetLayoutView="190" workbookViewId="0">
      <selection activeCell="F79" sqref="F79"/>
    </sheetView>
  </sheetViews>
  <sheetFormatPr baseColWidth="10" defaultColWidth="11.5703125" defaultRowHeight="15"/>
  <cols>
    <col min="1" max="1" width="1.5703125" style="110" customWidth="1"/>
    <col min="2" max="2" width="3.28515625" style="360" customWidth="1"/>
    <col min="3" max="3" width="46.28515625" style="360" customWidth="1"/>
    <col min="4" max="4" width="8.140625" style="110" customWidth="1"/>
    <col min="5" max="5" width="13.28515625" style="110" customWidth="1"/>
    <col min="6" max="6" width="14.7109375" style="110" customWidth="1"/>
    <col min="7" max="7" width="6" style="110" customWidth="1"/>
    <col min="8" max="8" width="11.7109375" style="110" customWidth="1"/>
    <col min="9" max="9" width="15.7109375" style="110" customWidth="1"/>
    <col min="10" max="10" width="2.28515625" style="110" customWidth="1"/>
    <col min="11" max="11" width="11.5703125" style="116"/>
    <col min="12" max="16384" width="11.5703125" style="110"/>
  </cols>
  <sheetData>
    <row r="1" spans="1:11" s="359" customFormat="1" ht="33" customHeight="1">
      <c r="A1" s="358" t="s">
        <v>107</v>
      </c>
      <c r="C1" s="360"/>
      <c r="G1" s="361"/>
      <c r="H1" s="648" t="s">
        <v>170</v>
      </c>
      <c r="I1" s="648"/>
      <c r="J1" s="361"/>
      <c r="K1" s="598"/>
    </row>
    <row r="2" spans="1:11" s="10" customFormat="1" ht="3" customHeight="1">
      <c r="A2" s="73"/>
      <c r="B2" s="73"/>
      <c r="C2" s="73"/>
      <c r="D2" s="73"/>
      <c r="E2" s="73"/>
      <c r="F2" s="73"/>
      <c r="G2" s="73"/>
      <c r="H2" s="73"/>
      <c r="I2" s="74"/>
    </row>
    <row r="3" spans="1:11" s="10" customFormat="1" ht="3" customHeight="1">
      <c r="G3" s="130"/>
      <c r="I3" s="2"/>
    </row>
    <row r="4" spans="1:11" s="10" customFormat="1" ht="12" customHeight="1">
      <c r="D4" s="69" t="s">
        <v>77</v>
      </c>
      <c r="E4" s="572" t="s">
        <v>50</v>
      </c>
      <c r="H4" s="12" t="s">
        <v>16</v>
      </c>
      <c r="I4" s="89" t="s">
        <v>51</v>
      </c>
      <c r="J4" s="31"/>
    </row>
    <row r="5" spans="1:11" s="10" customFormat="1" ht="2.4500000000000002" customHeight="1">
      <c r="E5" s="573"/>
      <c r="I5" s="2"/>
      <c r="J5" s="67"/>
    </row>
    <row r="6" spans="1:11" s="11" customFormat="1" ht="12.75" customHeight="1">
      <c r="A6" s="645">
        <v>1</v>
      </c>
      <c r="B6" s="645"/>
      <c r="C6" s="76" t="s">
        <v>0</v>
      </c>
      <c r="D6" s="135">
        <f>E6/E35</f>
        <v>1E-3</v>
      </c>
      <c r="E6" s="574">
        <f>_1</f>
        <v>15000</v>
      </c>
      <c r="F6" s="362"/>
      <c r="G6" s="362"/>
      <c r="H6" s="363">
        <v>0</v>
      </c>
      <c r="I6" s="364">
        <f>E6*H6</f>
        <v>0</v>
      </c>
      <c r="J6" s="3"/>
    </row>
    <row r="7" spans="1:11" ht="3" customHeight="1">
      <c r="B7" s="365"/>
      <c r="C7" s="110"/>
      <c r="D7" s="139"/>
      <c r="E7" s="575"/>
      <c r="H7" s="70"/>
      <c r="I7" s="366"/>
      <c r="J7" s="3"/>
    </row>
    <row r="8" spans="1:11" s="11" customFormat="1" ht="12.75" customHeight="1">
      <c r="A8" s="645">
        <v>2</v>
      </c>
      <c r="B8" s="645"/>
      <c r="C8" s="76" t="s">
        <v>1</v>
      </c>
      <c r="D8" s="135">
        <f>E8/E35</f>
        <v>0.316</v>
      </c>
      <c r="E8" s="574">
        <f>_2</f>
        <v>9000000</v>
      </c>
      <c r="F8" s="362"/>
      <c r="G8" s="362"/>
      <c r="H8" s="363">
        <v>1</v>
      </c>
      <c r="I8" s="364">
        <f>E8*H8</f>
        <v>9000000</v>
      </c>
      <c r="J8" s="3"/>
    </row>
    <row r="9" spans="1:11" ht="3" customHeight="1">
      <c r="C9" s="110"/>
      <c r="D9" s="139"/>
      <c r="E9" s="576"/>
      <c r="H9" s="70"/>
      <c r="I9" s="367"/>
      <c r="J9" s="3"/>
    </row>
    <row r="10" spans="1:11" s="10" customFormat="1" ht="12.75" customHeight="1">
      <c r="A10" s="645">
        <v>3</v>
      </c>
      <c r="B10" s="645"/>
      <c r="C10" s="76" t="s">
        <v>7</v>
      </c>
      <c r="D10" s="135">
        <f>E10/E35</f>
        <v>0.19900000000000001</v>
      </c>
      <c r="E10" s="577">
        <f>_3</f>
        <v>5650000</v>
      </c>
      <c r="G10" s="637"/>
      <c r="H10" s="585" t="str">
        <f>IF(E10&gt;(E8+E20)/2,"Abminderung","keine Abminderung")</f>
        <v>keine Abminderung</v>
      </c>
      <c r="I10" s="586">
        <f>IF(H10="Abminderung",0,E10)</f>
        <v>5650000</v>
      </c>
      <c r="J10" s="3"/>
    </row>
    <row r="11" spans="1:11" ht="11.45" customHeight="1">
      <c r="A11" s="340">
        <v>3</v>
      </c>
      <c r="B11" s="369" t="s">
        <v>17</v>
      </c>
      <c r="C11" s="370" t="s">
        <v>18</v>
      </c>
      <c r="D11" s="234"/>
      <c r="E11" s="578">
        <f>_3.01</f>
        <v>900000</v>
      </c>
      <c r="F11" s="587" t="s">
        <v>171</v>
      </c>
      <c r="I11" s="588"/>
      <c r="J11" s="3"/>
    </row>
    <row r="12" spans="1:11" ht="11.45" customHeight="1">
      <c r="A12" s="340">
        <v>3</v>
      </c>
      <c r="B12" s="371" t="s">
        <v>19</v>
      </c>
      <c r="C12" s="372" t="s">
        <v>26</v>
      </c>
      <c r="D12" s="373"/>
      <c r="E12" s="579">
        <f>_3.02</f>
        <v>1200000</v>
      </c>
      <c r="F12" s="587" t="s">
        <v>172</v>
      </c>
      <c r="J12" s="3"/>
    </row>
    <row r="13" spans="1:11" ht="11.45" customHeight="1">
      <c r="A13" s="340">
        <v>3</v>
      </c>
      <c r="B13" s="371" t="s">
        <v>20</v>
      </c>
      <c r="C13" s="372" t="s">
        <v>27</v>
      </c>
      <c r="D13" s="373"/>
      <c r="E13" s="580">
        <f>_3.03</f>
        <v>1000000</v>
      </c>
      <c r="G13" s="589" t="s">
        <v>79</v>
      </c>
      <c r="H13" s="590">
        <f>E8+E20</f>
        <v>15000000</v>
      </c>
      <c r="I13" s="653" t="str">
        <f>IF(H10="Abminderung","$","")</f>
        <v/>
      </c>
      <c r="J13" s="3"/>
    </row>
    <row r="14" spans="1:11" ht="11.45" customHeight="1">
      <c r="A14" s="340">
        <v>3</v>
      </c>
      <c r="B14" s="371" t="s">
        <v>21</v>
      </c>
      <c r="C14" s="372" t="s">
        <v>28</v>
      </c>
      <c r="D14" s="373"/>
      <c r="E14" s="580">
        <f>_3.04</f>
        <v>1500000</v>
      </c>
      <c r="G14" s="70" t="s">
        <v>173</v>
      </c>
      <c r="H14" s="590">
        <f>H13*50%</f>
        <v>7500000</v>
      </c>
      <c r="I14" s="653"/>
      <c r="J14" s="3"/>
    </row>
    <row r="15" spans="1:11" ht="11.45" customHeight="1">
      <c r="A15" s="340">
        <v>3</v>
      </c>
      <c r="B15" s="371" t="s">
        <v>22</v>
      </c>
      <c r="C15" s="372" t="s">
        <v>31</v>
      </c>
      <c r="D15" s="373"/>
      <c r="E15" s="580">
        <f>_3.05</f>
        <v>600000</v>
      </c>
      <c r="G15" s="589"/>
      <c r="H15" s="70" t="str">
        <f>IF(H10="Abminderung",100%,"")</f>
        <v/>
      </c>
      <c r="I15" s="591" t="str">
        <f>IF(H10="Abminderung",H14,"")</f>
        <v/>
      </c>
      <c r="J15" s="3"/>
    </row>
    <row r="16" spans="1:11" ht="11.45" customHeight="1">
      <c r="A16" s="340">
        <v>3</v>
      </c>
      <c r="B16" s="371" t="s">
        <v>23</v>
      </c>
      <c r="C16" s="372" t="s">
        <v>29</v>
      </c>
      <c r="D16" s="373"/>
      <c r="E16" s="580">
        <f>_3.06</f>
        <v>150000</v>
      </c>
      <c r="I16" s="653" t="str">
        <f>IF(H10="Abminderung","$","")</f>
        <v/>
      </c>
      <c r="J16" s="3"/>
    </row>
    <row r="17" spans="1:11" ht="11.45" customHeight="1">
      <c r="A17" s="340">
        <v>3</v>
      </c>
      <c r="B17" s="371" t="s">
        <v>24</v>
      </c>
      <c r="C17" s="372" t="s">
        <v>30</v>
      </c>
      <c r="D17" s="373"/>
      <c r="E17" s="580">
        <f>_3.07</f>
        <v>0</v>
      </c>
      <c r="G17" s="589" t="str">
        <f>IF(H10="Abminderung","Differenz zu KGR 3 =","")</f>
        <v/>
      </c>
      <c r="H17" s="592" t="str">
        <f>IF(H10="Abminderung",E10-H14,"")</f>
        <v/>
      </c>
      <c r="I17" s="653"/>
      <c r="J17" s="3"/>
    </row>
    <row r="18" spans="1:11" ht="11.45" customHeight="1">
      <c r="A18" s="340">
        <v>3</v>
      </c>
      <c r="B18" s="371" t="s">
        <v>25</v>
      </c>
      <c r="C18" s="374" t="s">
        <v>8</v>
      </c>
      <c r="D18" s="375"/>
      <c r="E18" s="580">
        <f>_3.08</f>
        <v>300000</v>
      </c>
      <c r="H18" s="70" t="str">
        <f>IF(H10="Abminderung",50%,"")</f>
        <v/>
      </c>
      <c r="I18" s="593" t="str">
        <f>IF(H10="Abminderung",H18*H17,"")</f>
        <v/>
      </c>
      <c r="J18" s="3"/>
    </row>
    <row r="19" spans="1:11" ht="3" customHeight="1">
      <c r="C19" s="110"/>
      <c r="D19" s="139"/>
      <c r="E19" s="576"/>
      <c r="H19" s="376"/>
      <c r="I19" s="367"/>
      <c r="J19" s="3"/>
    </row>
    <row r="20" spans="1:11" s="10" customFormat="1" ht="12.75" customHeight="1">
      <c r="A20" s="645">
        <v>4</v>
      </c>
      <c r="B20" s="645"/>
      <c r="C20" s="76" t="s">
        <v>2</v>
      </c>
      <c r="D20" s="135">
        <f>E20/E35</f>
        <v>0.21099999999999999</v>
      </c>
      <c r="E20" s="574">
        <f>_4</f>
        <v>6000000</v>
      </c>
      <c r="F20" s="377"/>
      <c r="G20" s="377"/>
      <c r="H20" s="378">
        <v>1</v>
      </c>
      <c r="I20" s="379">
        <f>E20*H20</f>
        <v>6000000</v>
      </c>
      <c r="J20" s="3"/>
    </row>
    <row r="21" spans="1:11" ht="3" customHeight="1">
      <c r="B21" s="365"/>
      <c r="C21" s="110"/>
      <c r="D21" s="139"/>
      <c r="E21" s="576"/>
      <c r="H21" s="70"/>
      <c r="I21" s="367"/>
      <c r="J21" s="3"/>
    </row>
    <row r="22" spans="1:11" s="11" customFormat="1" ht="12.75" customHeight="1">
      <c r="A22" s="645">
        <v>5</v>
      </c>
      <c r="B22" s="645"/>
      <c r="C22" s="76" t="s">
        <v>9</v>
      </c>
      <c r="D22" s="135">
        <f>E22/E35</f>
        <v>5.8000000000000003E-2</v>
      </c>
      <c r="E22" s="581">
        <f>_5</f>
        <v>1650000</v>
      </c>
      <c r="H22" s="70"/>
      <c r="I22" s="367"/>
      <c r="J22" s="3"/>
    </row>
    <row r="23" spans="1:11" ht="11.45" customHeight="1">
      <c r="A23" s="340">
        <v>5</v>
      </c>
      <c r="B23" s="381" t="s">
        <v>17</v>
      </c>
      <c r="C23" s="370" t="s">
        <v>126</v>
      </c>
      <c r="D23" s="234"/>
      <c r="E23" s="579">
        <f>_5.01</f>
        <v>600000</v>
      </c>
      <c r="F23" s="382"/>
      <c r="G23" s="382"/>
      <c r="H23" s="363">
        <v>0</v>
      </c>
      <c r="I23" s="380">
        <f>E23*H23</f>
        <v>0</v>
      </c>
      <c r="J23" s="3"/>
      <c r="K23" s="594"/>
    </row>
    <row r="24" spans="1:11" ht="11.45" customHeight="1">
      <c r="A24" s="340">
        <v>5</v>
      </c>
      <c r="B24" s="383" t="s">
        <v>19</v>
      </c>
      <c r="C24" s="372" t="s">
        <v>127</v>
      </c>
      <c r="D24" s="373"/>
      <c r="E24" s="579">
        <f>_5.02</f>
        <v>1000000</v>
      </c>
      <c r="F24" s="362"/>
      <c r="G24" s="362"/>
      <c r="H24" s="384">
        <v>0</v>
      </c>
      <c r="I24" s="385">
        <f>E24*H24</f>
        <v>0</v>
      </c>
      <c r="J24" s="3"/>
      <c r="K24" s="594"/>
    </row>
    <row r="25" spans="1:11" ht="11.45" customHeight="1">
      <c r="A25" s="340">
        <v>5</v>
      </c>
      <c r="B25" s="383" t="s">
        <v>20</v>
      </c>
      <c r="C25" s="372" t="s">
        <v>52</v>
      </c>
      <c r="D25" s="373"/>
      <c r="E25" s="579">
        <f>_5.03</f>
        <v>50000</v>
      </c>
      <c r="F25" s="362"/>
      <c r="G25" s="362"/>
      <c r="H25" s="363">
        <v>0</v>
      </c>
      <c r="I25" s="386">
        <f>E25*H25</f>
        <v>0</v>
      </c>
      <c r="J25" s="3"/>
      <c r="K25" s="594"/>
    </row>
    <row r="26" spans="1:11" ht="3" customHeight="1">
      <c r="C26" s="110"/>
      <c r="D26" s="139"/>
      <c r="E26" s="576"/>
      <c r="H26" s="70"/>
      <c r="I26" s="367"/>
      <c r="J26" s="3"/>
    </row>
    <row r="27" spans="1:11" s="10" customFormat="1" ht="12.75" customHeight="1">
      <c r="A27" s="645">
        <v>6</v>
      </c>
      <c r="B27" s="645"/>
      <c r="C27" s="76" t="s">
        <v>3</v>
      </c>
      <c r="D27" s="135">
        <f>E27/E35</f>
        <v>1.7999999999999999E-2</v>
      </c>
      <c r="E27" s="574">
        <f>_6</f>
        <v>500000</v>
      </c>
      <c r="F27" s="362"/>
      <c r="G27" s="362"/>
      <c r="H27" s="378">
        <v>0</v>
      </c>
      <c r="I27" s="379">
        <f>E27*H27</f>
        <v>0</v>
      </c>
      <c r="J27" s="3"/>
    </row>
    <row r="28" spans="1:11" ht="3" customHeight="1">
      <c r="A28" s="236"/>
      <c r="C28" s="110"/>
      <c r="D28" s="139"/>
      <c r="E28" s="576"/>
      <c r="H28" s="70"/>
      <c r="I28" s="367"/>
      <c r="J28" s="3"/>
    </row>
    <row r="29" spans="1:11" s="11" customFormat="1" ht="12.75" customHeight="1">
      <c r="A29" s="645">
        <v>7</v>
      </c>
      <c r="B29" s="645"/>
      <c r="C29" s="76" t="s">
        <v>174</v>
      </c>
      <c r="D29" s="135">
        <f>E29/E35</f>
        <v>0.14099999999999999</v>
      </c>
      <c r="E29" s="574">
        <f>_7</f>
        <v>4000000</v>
      </c>
      <c r="F29" s="362"/>
      <c r="G29" s="362"/>
      <c r="H29" s="378">
        <v>0</v>
      </c>
      <c r="I29" s="379">
        <f>E29*H29</f>
        <v>0</v>
      </c>
      <c r="J29" s="3"/>
    </row>
    <row r="30" spans="1:11" ht="3" customHeight="1">
      <c r="A30" s="360"/>
      <c r="C30" s="110"/>
      <c r="D30" s="139"/>
      <c r="E30" s="576"/>
      <c r="H30" s="70"/>
      <c r="I30" s="367"/>
      <c r="J30" s="3"/>
    </row>
    <row r="31" spans="1:11" s="11" customFormat="1" ht="12.75" customHeight="1">
      <c r="A31" s="645">
        <v>8</v>
      </c>
      <c r="B31" s="645"/>
      <c r="C31" s="76" t="s">
        <v>129</v>
      </c>
      <c r="D31" s="135">
        <f>E31/E35</f>
        <v>1E-3</v>
      </c>
      <c r="E31" s="574">
        <f>_8</f>
        <v>36000</v>
      </c>
      <c r="F31" s="362"/>
      <c r="G31" s="362"/>
      <c r="H31" s="378">
        <v>0</v>
      </c>
      <c r="I31" s="379">
        <f>E31*H31</f>
        <v>0</v>
      </c>
      <c r="J31" s="3"/>
    </row>
    <row r="32" spans="1:11" ht="3" customHeight="1">
      <c r="A32" s="360"/>
      <c r="C32" s="110"/>
      <c r="D32" s="139"/>
      <c r="E32" s="576"/>
      <c r="H32" s="376"/>
      <c r="I32" s="367"/>
      <c r="J32" s="3"/>
    </row>
    <row r="33" spans="1:11" s="11" customFormat="1" ht="12.75" customHeight="1">
      <c r="A33" s="645">
        <v>9</v>
      </c>
      <c r="B33" s="645"/>
      <c r="C33" s="76" t="s">
        <v>10</v>
      </c>
      <c r="D33" s="135">
        <f>E33/E35</f>
        <v>5.6000000000000001E-2</v>
      </c>
      <c r="E33" s="574">
        <f>_9</f>
        <v>1600000</v>
      </c>
      <c r="F33" s="362"/>
      <c r="G33" s="362"/>
      <c r="H33" s="378">
        <v>0.1</v>
      </c>
      <c r="I33" s="379">
        <f>E33*H33</f>
        <v>160000</v>
      </c>
      <c r="J33" s="3"/>
    </row>
    <row r="34" spans="1:11" ht="3" customHeight="1">
      <c r="B34" s="236"/>
      <c r="C34" s="387"/>
      <c r="D34" s="388"/>
      <c r="E34" s="576"/>
      <c r="I34" s="367"/>
    </row>
    <row r="35" spans="1:11" ht="12.75" customHeight="1">
      <c r="A35" s="113" t="s">
        <v>12</v>
      </c>
      <c r="B35" s="114"/>
      <c r="C35" s="114"/>
      <c r="D35" s="389">
        <f>SUM(D6:D33)</f>
        <v>1</v>
      </c>
      <c r="E35" s="582">
        <f>SUM(E6+E8+E10+E20+E22+E27+E29+E31+E33)</f>
        <v>28451000</v>
      </c>
      <c r="F35" s="391"/>
      <c r="G35" s="391"/>
      <c r="H35" s="392"/>
      <c r="I35" s="390">
        <f>IF(H10="Abminderung",I6+I8+I10+I15+I18+I20+I23+I24+I25+I27+I29+I31+I33,SUM(I6:I10)+SUM(I20:I33))</f>
        <v>20810000</v>
      </c>
      <c r="J35" s="595"/>
    </row>
    <row r="36" spans="1:11" ht="3" customHeight="1">
      <c r="A36" s="393"/>
      <c r="D36" s="388"/>
      <c r="E36" s="583"/>
      <c r="H36" s="214"/>
      <c r="I36" s="367"/>
    </row>
    <row r="37" spans="1:11" s="10" customFormat="1" ht="12.75" customHeight="1">
      <c r="A37" s="394"/>
      <c r="B37" s="650" t="s">
        <v>159</v>
      </c>
      <c r="C37" s="650"/>
      <c r="D37" s="651"/>
      <c r="E37" s="584">
        <f>_mvB</f>
        <v>120000</v>
      </c>
      <c r="F37" s="245"/>
      <c r="G37" s="245"/>
      <c r="H37" s="351">
        <v>1</v>
      </c>
      <c r="I37" s="334">
        <f>E37*H37</f>
        <v>120000</v>
      </c>
    </row>
    <row r="38" spans="1:11" ht="6" customHeight="1">
      <c r="C38" s="110"/>
      <c r="I38" s="395"/>
      <c r="K38" s="110"/>
    </row>
    <row r="39" spans="1:11" s="112" customFormat="1" ht="12.75" customHeight="1">
      <c r="A39" s="191" t="s">
        <v>32</v>
      </c>
      <c r="B39" s="192"/>
      <c r="C39" s="192"/>
      <c r="D39" s="192"/>
      <c r="E39" s="192"/>
      <c r="F39" s="192"/>
      <c r="G39" s="192"/>
      <c r="H39" s="193"/>
      <c r="I39" s="396">
        <f>SUM(I35:I37)</f>
        <v>20930000</v>
      </c>
      <c r="J39" s="596"/>
    </row>
    <row r="40" spans="1:11" ht="10.5" customHeight="1">
      <c r="B40" s="2"/>
      <c r="C40" s="2"/>
    </row>
    <row r="41" spans="1:11" ht="12.75" customHeight="1">
      <c r="A41" s="154" t="s">
        <v>175</v>
      </c>
      <c r="B41" s="154"/>
      <c r="C41" s="154"/>
      <c r="D41" s="155"/>
      <c r="E41" s="155"/>
      <c r="F41" s="155"/>
      <c r="G41" s="155"/>
      <c r="H41" s="155"/>
      <c r="I41" s="155"/>
      <c r="J41" s="597"/>
    </row>
    <row r="42" spans="1:11" ht="3" customHeight="1">
      <c r="A42" s="156"/>
      <c r="B42" s="156"/>
      <c r="C42" s="156"/>
      <c r="D42" s="156"/>
      <c r="E42" s="156"/>
      <c r="F42" s="156"/>
      <c r="G42" s="156"/>
      <c r="H42" s="156"/>
      <c r="I42" s="156"/>
      <c r="J42" s="156"/>
    </row>
    <row r="43" spans="1:11" ht="12.75" customHeight="1">
      <c r="A43" s="157" t="s">
        <v>78</v>
      </c>
      <c r="B43" s="156"/>
      <c r="C43" s="156"/>
      <c r="D43" s="156"/>
      <c r="E43" s="156"/>
      <c r="F43" s="156"/>
      <c r="G43" s="156"/>
      <c r="H43" s="156"/>
      <c r="I43" s="156"/>
      <c r="J43" s="156"/>
    </row>
    <row r="44" spans="1:11" ht="11.25" customHeight="1">
      <c r="A44" s="19"/>
      <c r="B44" s="19"/>
      <c r="C44" s="19"/>
      <c r="E44" s="158" t="s">
        <v>5</v>
      </c>
      <c r="F44" s="159" t="s">
        <v>4</v>
      </c>
      <c r="H44" s="652" t="s">
        <v>243</v>
      </c>
      <c r="I44" s="652"/>
      <c r="J44" s="162"/>
    </row>
    <row r="45" spans="1:11" ht="12.75" customHeight="1">
      <c r="B45" s="20" t="s">
        <v>46</v>
      </c>
      <c r="C45" s="397"/>
      <c r="D45" s="398"/>
      <c r="E45" s="117">
        <v>19</v>
      </c>
      <c r="F45" s="160" t="s">
        <v>58</v>
      </c>
      <c r="H45" s="399"/>
      <c r="I45" s="400"/>
      <c r="J45" s="162"/>
    </row>
    <row r="46" spans="1:11" ht="12.75" customHeight="1">
      <c r="B46" s="21" t="s">
        <v>47</v>
      </c>
      <c r="C46" s="401"/>
      <c r="D46" s="402"/>
      <c r="E46" s="118">
        <v>2</v>
      </c>
      <c r="F46" s="161" t="s">
        <v>6</v>
      </c>
      <c r="H46" s="403"/>
      <c r="I46" s="404"/>
    </row>
    <row r="47" spans="1:11" ht="12.75" customHeight="1">
      <c r="B47" s="21" t="s">
        <v>48</v>
      </c>
      <c r="C47" s="401"/>
      <c r="D47" s="402"/>
      <c r="E47" s="118">
        <v>1</v>
      </c>
      <c r="F47" s="161" t="s">
        <v>6</v>
      </c>
      <c r="H47" s="403"/>
      <c r="I47" s="404"/>
    </row>
    <row r="48" spans="1:11" s="116" customFormat="1" ht="12.75" customHeight="1">
      <c r="A48" s="110"/>
      <c r="B48" s="21" t="s">
        <v>49</v>
      </c>
      <c r="C48" s="402"/>
      <c r="D48" s="402"/>
      <c r="E48" s="118">
        <v>1</v>
      </c>
      <c r="F48" s="161" t="s">
        <v>6</v>
      </c>
      <c r="G48" s="110"/>
      <c r="H48" s="403"/>
      <c r="I48" s="404"/>
      <c r="J48" s="110"/>
    </row>
    <row r="49" spans="1:10" s="116" customFormat="1" ht="3" customHeight="1">
      <c r="A49" s="19"/>
      <c r="B49" s="19"/>
      <c r="C49" s="19"/>
      <c r="D49" s="110"/>
      <c r="E49" s="162"/>
      <c r="F49" s="110"/>
      <c r="G49" s="110"/>
      <c r="H49" s="631"/>
      <c r="I49" s="631"/>
      <c r="J49" s="110"/>
    </row>
    <row r="50" spans="1:10" s="116" customFormat="1" ht="11.25" customHeight="1">
      <c r="A50" s="110"/>
      <c r="B50" s="553"/>
      <c r="C50" s="405" t="s">
        <v>176</v>
      </c>
      <c r="D50" s="402"/>
      <c r="E50" s="118">
        <v>0</v>
      </c>
      <c r="F50" s="161" t="s">
        <v>239</v>
      </c>
      <c r="G50" s="110"/>
      <c r="H50" s="406"/>
      <c r="I50" s="406"/>
      <c r="J50" s="164"/>
    </row>
    <row r="51" spans="1:10" s="116" customFormat="1" ht="11.25" customHeight="1">
      <c r="A51" s="110"/>
      <c r="B51" s="553"/>
      <c r="C51" s="405" t="s">
        <v>166</v>
      </c>
      <c r="D51" s="402"/>
      <c r="E51" s="118">
        <v>0</v>
      </c>
      <c r="F51" s="161" t="s">
        <v>240</v>
      </c>
      <c r="G51" s="110"/>
      <c r="H51" s="407"/>
      <c r="I51" s="407"/>
      <c r="J51" s="164"/>
    </row>
    <row r="52" spans="1:10" s="116" customFormat="1" ht="11.25" customHeight="1">
      <c r="A52" s="110"/>
      <c r="B52" s="553"/>
      <c r="C52" s="405" t="s">
        <v>165</v>
      </c>
      <c r="D52" s="402"/>
      <c r="E52" s="118">
        <v>0</v>
      </c>
      <c r="F52" s="161" t="s">
        <v>241</v>
      </c>
      <c r="G52" s="110"/>
      <c r="H52" s="406"/>
      <c r="I52" s="406"/>
      <c r="J52" s="164"/>
    </row>
    <row r="53" spans="1:10" s="116" customFormat="1" ht="11.25" customHeight="1">
      <c r="A53" s="110"/>
      <c r="B53" s="553"/>
      <c r="C53" s="405" t="s">
        <v>177</v>
      </c>
      <c r="D53" s="402"/>
      <c r="E53" s="118">
        <v>0</v>
      </c>
      <c r="F53" s="161" t="s">
        <v>239</v>
      </c>
      <c r="G53" s="110"/>
      <c r="H53" s="406"/>
      <c r="I53" s="406"/>
      <c r="J53" s="164"/>
    </row>
    <row r="54" spans="1:10" s="116" customFormat="1" ht="3" customHeight="1">
      <c r="A54" s="19"/>
      <c r="B54" s="19"/>
      <c r="C54" s="110"/>
      <c r="D54" s="164"/>
      <c r="E54" s="164"/>
      <c r="F54" s="164"/>
      <c r="G54" s="110"/>
      <c r="H54" s="164"/>
      <c r="I54" s="164"/>
      <c r="J54" s="164"/>
    </row>
    <row r="55" spans="1:10" s="116" customFormat="1" ht="12.75" customHeight="1">
      <c r="A55" s="110"/>
      <c r="B55" s="19" t="s">
        <v>45</v>
      </c>
      <c r="C55" s="110"/>
      <c r="D55" s="163"/>
      <c r="E55" s="165">
        <f>SUM(E45:E53)</f>
        <v>23</v>
      </c>
      <c r="F55" s="164"/>
      <c r="G55" s="110"/>
      <c r="H55" s="164"/>
      <c r="I55" s="164"/>
      <c r="J55" s="164"/>
    </row>
    <row r="56" spans="1:10" s="116" customFormat="1" ht="6" customHeight="1">
      <c r="A56" s="110"/>
      <c r="B56" s="19"/>
      <c r="C56" s="110"/>
      <c r="D56" s="164"/>
      <c r="E56" s="164"/>
      <c r="F56" s="164"/>
      <c r="G56" s="110"/>
      <c r="H56" s="164"/>
      <c r="I56" s="164"/>
      <c r="J56" s="164"/>
    </row>
    <row r="57" spans="1:10" s="116" customFormat="1" ht="12.75" customHeight="1">
      <c r="A57" s="157" t="s">
        <v>15</v>
      </c>
      <c r="B57" s="157"/>
      <c r="C57" s="156"/>
      <c r="D57" s="156"/>
      <c r="E57" s="156"/>
      <c r="F57" s="156"/>
      <c r="G57" s="110"/>
      <c r="H57" s="156"/>
      <c r="I57" s="156"/>
      <c r="J57" s="156"/>
    </row>
    <row r="58" spans="1:10" s="116" customFormat="1" ht="3.75" customHeight="1">
      <c r="A58" s="157"/>
      <c r="B58" s="157"/>
      <c r="C58" s="157"/>
      <c r="D58" s="157"/>
      <c r="E58" s="110"/>
      <c r="F58" s="110"/>
      <c r="G58" s="110"/>
      <c r="H58" s="110"/>
      <c r="I58" s="110"/>
      <c r="J58" s="110"/>
    </row>
    <row r="59" spans="1:10" s="116" customFormat="1" ht="12.75" customHeight="1">
      <c r="A59" s="166" t="s">
        <v>11</v>
      </c>
      <c r="B59" s="166"/>
      <c r="C59" s="110"/>
      <c r="D59" s="110"/>
      <c r="E59" s="195">
        <f>I39</f>
        <v>20930000</v>
      </c>
      <c r="F59" s="110"/>
      <c r="G59" s="110"/>
      <c r="H59" s="408"/>
      <c r="I59" s="180"/>
      <c r="J59" s="180"/>
    </row>
    <row r="60" spans="1:10" s="116" customFormat="1" ht="3" customHeight="1">
      <c r="A60" s="19"/>
      <c r="B60" s="19"/>
      <c r="C60" s="19"/>
      <c r="D60" s="19"/>
      <c r="E60" s="163"/>
      <c r="F60" s="19"/>
      <c r="G60" s="110"/>
      <c r="H60" s="164"/>
      <c r="I60" s="164"/>
      <c r="J60" s="164"/>
    </row>
    <row r="61" spans="1:10" s="116" customFormat="1" ht="12.75" customHeight="1">
      <c r="A61" s="19" t="s">
        <v>80</v>
      </c>
      <c r="B61" s="19"/>
      <c r="C61" s="19"/>
      <c r="D61" s="110"/>
      <c r="E61" s="100">
        <f>0.0198*E55+0.9406</f>
        <v>1.4</v>
      </c>
      <c r="F61" s="110"/>
      <c r="G61" s="110"/>
      <c r="H61" s="101"/>
      <c r="I61" s="101"/>
      <c r="J61" s="101"/>
    </row>
    <row r="62" spans="1:10" s="116" customFormat="1" ht="12.75" customHeight="1">
      <c r="A62" s="19" t="s">
        <v>88</v>
      </c>
      <c r="B62" s="19"/>
      <c r="C62" s="19"/>
      <c r="D62" s="110"/>
      <c r="E62" s="409">
        <f>ROUND(IF(E59&lt;2000000,40*E59^(-0.1208)*E61/100,(12.2611*E59^(-0.0394)*E61)/100),6)</f>
        <v>8.8353000000000001E-2</v>
      </c>
      <c r="F62" s="110"/>
      <c r="G62" s="110"/>
      <c r="H62" s="410"/>
      <c r="I62" s="181"/>
      <c r="J62" s="411"/>
    </row>
    <row r="63" spans="1:10" s="116" customFormat="1" ht="12.75" customHeight="1">
      <c r="A63" s="19" t="s">
        <v>82</v>
      </c>
      <c r="B63" s="19"/>
      <c r="C63" s="19"/>
      <c r="D63" s="110"/>
      <c r="E63" s="412">
        <f>40*E59^(-0.1208)*E61/100</f>
        <v>7.3086999999999999E-2</v>
      </c>
      <c r="F63" s="110"/>
      <c r="G63" s="110"/>
      <c r="H63" s="181"/>
      <c r="I63" s="413" t="str">
        <f>IF(E59&lt;2000000,"(PL + ÖBA)","")</f>
        <v/>
      </c>
      <c r="J63" s="411"/>
    </row>
    <row r="64" spans="1:10" s="116" customFormat="1" ht="12.75" customHeight="1">
      <c r="A64" s="19" t="s">
        <v>83</v>
      </c>
      <c r="B64" s="19"/>
      <c r="C64" s="19"/>
      <c r="D64" s="19"/>
      <c r="E64" s="297">
        <f>ROUND((12.2611*E59^(-0.0394)*E61)/100,6)</f>
        <v>8.8353000000000001E-2</v>
      </c>
      <c r="F64" s="414" t="str">
        <f>IF(E59&gt;1999999.99,"(PL + ÖBA)","")</f>
        <v>(PL + ÖBA)</v>
      </c>
      <c r="G64" s="110"/>
      <c r="H64" s="181"/>
      <c r="I64" s="110"/>
      <c r="J64" s="411"/>
    </row>
    <row r="65" spans="1:11" s="116" customFormat="1" ht="12.75" customHeight="1">
      <c r="A65" s="19" t="s">
        <v>178</v>
      </c>
      <c r="B65" s="19"/>
      <c r="C65" s="19"/>
      <c r="D65" s="110"/>
      <c r="E65" s="640">
        <v>0</v>
      </c>
      <c r="F65" s="110"/>
      <c r="G65" s="110"/>
      <c r="H65" s="415"/>
      <c r="I65" s="167"/>
      <c r="J65" s="416"/>
    </row>
    <row r="66" spans="1:11" s="116" customFormat="1" ht="15" customHeight="1">
      <c r="A66" s="20" t="s">
        <v>179</v>
      </c>
      <c r="B66" s="20"/>
      <c r="C66" s="20"/>
      <c r="D66" s="168"/>
      <c r="E66" s="168"/>
      <c r="F66" s="256">
        <f>ROUND(E59*(E62)*(1+E65),2)</f>
        <v>1849228</v>
      </c>
      <c r="G66" s="170"/>
      <c r="H66" s="170"/>
      <c r="I66" s="110"/>
      <c r="J66" s="170"/>
    </row>
    <row r="67" spans="1:11" s="116" customFormat="1" ht="3" customHeight="1">
      <c r="A67" s="19"/>
      <c r="B67" s="19"/>
      <c r="C67" s="19"/>
      <c r="D67" s="156"/>
      <c r="E67" s="156"/>
      <c r="F67" s="156"/>
      <c r="G67" s="170"/>
      <c r="H67" s="170"/>
      <c r="I67" s="170"/>
      <c r="J67" s="170"/>
    </row>
    <row r="68" spans="1:11" s="116" customFormat="1" ht="11.25" customHeight="1">
      <c r="A68" s="19"/>
      <c r="B68" s="19"/>
      <c r="C68" s="19"/>
      <c r="D68" s="275" t="s">
        <v>147</v>
      </c>
      <c r="E68" s="270" t="s">
        <v>5</v>
      </c>
      <c r="F68" s="110"/>
      <c r="G68" s="560"/>
      <c r="H68" s="158"/>
      <c r="I68" s="170"/>
      <c r="J68" s="170"/>
    </row>
    <row r="69" spans="1:11" s="116" customFormat="1" ht="12.75" customHeight="1">
      <c r="A69" s="156" t="s">
        <v>98</v>
      </c>
      <c r="B69" s="156"/>
      <c r="C69" s="171"/>
      <c r="D69" s="271">
        <v>0.02</v>
      </c>
      <c r="E69" s="222">
        <v>0.02</v>
      </c>
      <c r="F69" s="177">
        <f t="shared" ref="F69:F78" si="0">$F$66*E69</f>
        <v>36985</v>
      </c>
      <c r="G69" s="599"/>
      <c r="H69" s="561"/>
      <c r="I69" s="177"/>
      <c r="J69" s="172"/>
    </row>
    <row r="70" spans="1:11" s="116" customFormat="1" ht="12.75" customHeight="1">
      <c r="A70" s="156" t="s">
        <v>35</v>
      </c>
      <c r="B70" s="156"/>
      <c r="C70" s="171"/>
      <c r="D70" s="271">
        <v>0.08</v>
      </c>
      <c r="E70" s="223">
        <v>0.08</v>
      </c>
      <c r="F70" s="177">
        <f t="shared" si="0"/>
        <v>147938</v>
      </c>
      <c r="G70" s="599"/>
      <c r="H70" s="561"/>
      <c r="I70" s="177"/>
      <c r="J70" s="172"/>
    </row>
    <row r="71" spans="1:11" s="116" customFormat="1" ht="12.75" customHeight="1">
      <c r="A71" s="156" t="s">
        <v>36</v>
      </c>
      <c r="B71" s="156"/>
      <c r="C71" s="171"/>
      <c r="D71" s="271">
        <v>0.12</v>
      </c>
      <c r="E71" s="223">
        <v>0.12</v>
      </c>
      <c r="F71" s="177">
        <f t="shared" si="0"/>
        <v>221907</v>
      </c>
      <c r="G71" s="599"/>
      <c r="H71" s="561"/>
      <c r="I71" s="177"/>
      <c r="J71" s="172"/>
    </row>
    <row r="72" spans="1:11" s="116" customFormat="1" ht="12.75" customHeight="1">
      <c r="A72" s="156" t="s">
        <v>37</v>
      </c>
      <c r="B72" s="156"/>
      <c r="C72" s="171"/>
      <c r="D72" s="271">
        <v>0.05</v>
      </c>
      <c r="E72" s="223">
        <v>0.05</v>
      </c>
      <c r="F72" s="177">
        <f t="shared" si="0"/>
        <v>92461</v>
      </c>
      <c r="G72" s="599"/>
      <c r="H72" s="561"/>
      <c r="I72" s="177"/>
      <c r="J72" s="172"/>
    </row>
    <row r="73" spans="1:11" s="116" customFormat="1" ht="12.75" customHeight="1">
      <c r="A73" s="156" t="s">
        <v>38</v>
      </c>
      <c r="B73" s="156"/>
      <c r="C73" s="171"/>
      <c r="D73" s="271">
        <v>0.22</v>
      </c>
      <c r="E73" s="223">
        <v>0.22</v>
      </c>
      <c r="F73" s="177">
        <f t="shared" si="0"/>
        <v>406830</v>
      </c>
      <c r="G73" s="599"/>
      <c r="H73" s="561"/>
      <c r="I73" s="177"/>
      <c r="J73" s="172"/>
    </row>
    <row r="74" spans="1:11" ht="12.75" customHeight="1">
      <c r="A74" s="156" t="s">
        <v>39</v>
      </c>
      <c r="B74" s="156"/>
      <c r="C74" s="171"/>
      <c r="D74" s="271">
        <v>0.06</v>
      </c>
      <c r="E74" s="223">
        <v>0.06</v>
      </c>
      <c r="F74" s="177">
        <f t="shared" si="0"/>
        <v>110954</v>
      </c>
      <c r="G74" s="599"/>
      <c r="H74" s="561"/>
      <c r="I74" s="177"/>
      <c r="J74" s="172"/>
    </row>
    <row r="75" spans="1:11" ht="12.75" customHeight="1">
      <c r="A75" s="156" t="s">
        <v>40</v>
      </c>
      <c r="B75" s="156"/>
      <c r="C75" s="171"/>
      <c r="D75" s="271">
        <v>0.02</v>
      </c>
      <c r="E75" s="223">
        <v>0.02</v>
      </c>
      <c r="F75" s="177">
        <f t="shared" si="0"/>
        <v>36985</v>
      </c>
      <c r="G75" s="599"/>
      <c r="H75" s="561"/>
      <c r="I75" s="177"/>
      <c r="J75" s="172"/>
    </row>
    <row r="76" spans="1:11" ht="12.75" customHeight="1">
      <c r="A76" s="156" t="s">
        <v>54</v>
      </c>
      <c r="B76" s="156"/>
      <c r="C76" s="171"/>
      <c r="D76" s="271">
        <v>0.04</v>
      </c>
      <c r="E76" s="223">
        <v>0.04</v>
      </c>
      <c r="F76" s="177">
        <f t="shared" si="0"/>
        <v>73969</v>
      </c>
      <c r="G76" s="599"/>
      <c r="H76" s="561"/>
      <c r="I76" s="177"/>
      <c r="J76" s="172"/>
    </row>
    <row r="77" spans="1:11" ht="12.75" customHeight="1">
      <c r="A77" s="156" t="s">
        <v>42</v>
      </c>
      <c r="B77" s="156"/>
      <c r="C77" s="171"/>
      <c r="D77" s="271">
        <v>0.37</v>
      </c>
      <c r="E77" s="223">
        <v>0.37</v>
      </c>
      <c r="F77" s="177">
        <f t="shared" si="0"/>
        <v>684214</v>
      </c>
      <c r="G77" s="599"/>
      <c r="H77" s="561"/>
      <c r="I77" s="177"/>
      <c r="J77" s="172"/>
    </row>
    <row r="78" spans="1:11" ht="12.75" customHeight="1">
      <c r="A78" s="168" t="s">
        <v>55</v>
      </c>
      <c r="B78" s="168"/>
      <c r="C78" s="174"/>
      <c r="D78" s="272">
        <v>0.02</v>
      </c>
      <c r="E78" s="224">
        <v>0.02</v>
      </c>
      <c r="F78" s="178">
        <f t="shared" si="0"/>
        <v>36985</v>
      </c>
      <c r="G78" s="569"/>
      <c r="H78" s="600"/>
      <c r="I78" s="177"/>
      <c r="J78" s="172"/>
    </row>
    <row r="79" spans="1:11" s="16" customFormat="1" ht="18.600000000000001" customHeight="1">
      <c r="A79" s="292" t="s">
        <v>44</v>
      </c>
      <c r="B79" s="417"/>
      <c r="C79" s="418"/>
      <c r="D79" s="419">
        <f>SUM(D69:D78)</f>
        <v>1</v>
      </c>
      <c r="E79" s="289">
        <f>SUM(E69:E78)</f>
        <v>1</v>
      </c>
      <c r="F79" s="288">
        <f>SUM(F69:F78)</f>
        <v>1849228</v>
      </c>
      <c r="G79" s="419"/>
      <c r="H79" s="289"/>
      <c r="I79" s="420"/>
      <c r="J79" s="283"/>
      <c r="K79" s="17"/>
    </row>
    <row r="80" spans="1:11" ht="12.75" customHeight="1">
      <c r="A80" s="534" t="s">
        <v>218</v>
      </c>
      <c r="B80" s="156"/>
      <c r="C80" s="110"/>
      <c r="D80" s="271">
        <v>0.01</v>
      </c>
      <c r="E80" s="223">
        <v>0.01</v>
      </c>
      <c r="F80" s="177">
        <f t="shared" ref="F80:F87" si="1">$F$66*E80</f>
        <v>18492</v>
      </c>
      <c r="G80" s="172"/>
      <c r="H80" s="177"/>
      <c r="I80" s="421"/>
      <c r="K80" s="110"/>
    </row>
    <row r="81" spans="1:11" ht="12.75" customHeight="1">
      <c r="A81" s="534" t="s">
        <v>187</v>
      </c>
      <c r="B81" s="156"/>
      <c r="C81" s="110"/>
      <c r="D81" s="271">
        <v>1.4999999999999999E-2</v>
      </c>
      <c r="E81" s="223">
        <v>0</v>
      </c>
      <c r="F81" s="177">
        <f>$F$66*E81</f>
        <v>0</v>
      </c>
      <c r="G81" s="172"/>
      <c r="H81" s="177"/>
      <c r="I81" s="421"/>
      <c r="K81" s="110"/>
    </row>
    <row r="82" spans="1:11" ht="12.75" customHeight="1">
      <c r="A82" s="534" t="s">
        <v>219</v>
      </c>
      <c r="B82" s="156"/>
      <c r="C82" s="110"/>
      <c r="D82" s="271">
        <v>2.5000000000000001E-2</v>
      </c>
      <c r="E82" s="223">
        <v>0</v>
      </c>
      <c r="F82" s="177">
        <f t="shared" si="1"/>
        <v>0</v>
      </c>
      <c r="G82" s="172"/>
      <c r="H82" s="177"/>
      <c r="I82" s="421"/>
      <c r="K82" s="110"/>
    </row>
    <row r="83" spans="1:11" ht="12.75" customHeight="1">
      <c r="A83" s="534" t="s">
        <v>220</v>
      </c>
      <c r="B83" s="156"/>
      <c r="C83" s="110"/>
      <c r="D83" s="617">
        <v>0.03</v>
      </c>
      <c r="E83" s="223">
        <v>0</v>
      </c>
      <c r="F83" s="177">
        <f t="shared" si="1"/>
        <v>0</v>
      </c>
      <c r="G83" s="172"/>
      <c r="H83" s="177"/>
      <c r="I83" s="421"/>
      <c r="K83" s="110"/>
    </row>
    <row r="84" spans="1:11" ht="12.75" customHeight="1">
      <c r="A84" s="534" t="s">
        <v>222</v>
      </c>
      <c r="B84" s="156"/>
      <c r="C84" s="110"/>
      <c r="D84" s="617">
        <v>0.02</v>
      </c>
      <c r="E84" s="223">
        <v>0</v>
      </c>
      <c r="F84" s="177">
        <f t="shared" si="1"/>
        <v>0</v>
      </c>
      <c r="G84" s="172"/>
      <c r="H84" s="177"/>
      <c r="I84" s="421"/>
      <c r="K84" s="110"/>
    </row>
    <row r="85" spans="1:11" ht="12.75" customHeight="1">
      <c r="A85" s="632" t="s">
        <v>257</v>
      </c>
      <c r="B85" s="156"/>
      <c r="C85" s="110"/>
      <c r="D85" s="271">
        <v>0.04</v>
      </c>
      <c r="E85" s="471">
        <v>0</v>
      </c>
      <c r="F85" s="177">
        <f t="shared" si="1"/>
        <v>0</v>
      </c>
      <c r="G85" s="172"/>
      <c r="H85" s="177"/>
      <c r="I85" s="421"/>
      <c r="K85" s="110"/>
    </row>
    <row r="86" spans="1:11" ht="12.75" customHeight="1">
      <c r="A86" s="632" t="s">
        <v>258</v>
      </c>
      <c r="B86" s="156"/>
      <c r="C86" s="110"/>
      <c r="D86" s="617">
        <v>0.01</v>
      </c>
      <c r="E86" s="471">
        <v>0</v>
      </c>
      <c r="F86" s="177">
        <f t="shared" si="1"/>
        <v>0</v>
      </c>
      <c r="G86" s="172"/>
      <c r="H86" s="177"/>
      <c r="I86" s="421"/>
      <c r="K86" s="110"/>
    </row>
    <row r="87" spans="1:11" ht="12.75" customHeight="1">
      <c r="A87" s="634" t="s">
        <v>250</v>
      </c>
      <c r="B87" s="168"/>
      <c r="C87" s="398"/>
      <c r="D87" s="272">
        <v>0.01</v>
      </c>
      <c r="E87" s="224">
        <v>0</v>
      </c>
      <c r="F87" s="178">
        <f t="shared" si="1"/>
        <v>0</v>
      </c>
      <c r="G87" s="600"/>
      <c r="H87" s="178"/>
      <c r="I87" s="601"/>
      <c r="K87" s="110"/>
    </row>
    <row r="88" spans="1:11" s="16" customFormat="1" ht="12.75" customHeight="1">
      <c r="A88" s="644" t="s">
        <v>251</v>
      </c>
      <c r="B88" s="644"/>
      <c r="C88" s="644"/>
      <c r="D88" s="419">
        <f>SUM(D79:D87)</f>
        <v>1.1599999999999999</v>
      </c>
      <c r="E88" s="283">
        <f>SUM(E79:E87)</f>
        <v>1.01</v>
      </c>
      <c r="F88" s="288">
        <f>F79+SUM(F80:F87)</f>
        <v>1867720</v>
      </c>
      <c r="G88" s="419"/>
      <c r="H88" s="177"/>
      <c r="I88" s="254">
        <f>F88</f>
        <v>1867720</v>
      </c>
      <c r="J88" s="283"/>
      <c r="K88" s="17"/>
    </row>
    <row r="89" spans="1:11" ht="12.75" customHeight="1"/>
    <row r="90" spans="1:11" ht="12.75" customHeight="1">
      <c r="A90" s="227" t="s">
        <v>123</v>
      </c>
      <c r="E90" s="357">
        <v>0</v>
      </c>
      <c r="F90" s="229">
        <v>0</v>
      </c>
      <c r="I90" s="235">
        <f>E90*F90</f>
        <v>0</v>
      </c>
      <c r="K90" s="110"/>
    </row>
    <row r="91" spans="1:11" ht="3" customHeight="1">
      <c r="G91" s="422"/>
      <c r="H91" s="422"/>
    </row>
    <row r="92" spans="1:11" s="19" customFormat="1" ht="12.75" customHeight="1">
      <c r="A92" s="423" t="s">
        <v>180</v>
      </c>
      <c r="B92" s="424"/>
      <c r="C92" s="425"/>
      <c r="D92" s="425"/>
      <c r="E92" s="242"/>
      <c r="F92" s="426"/>
      <c r="G92" s="427"/>
      <c r="H92" s="427"/>
      <c r="I92" s="428">
        <f>I88+I90</f>
        <v>1867720</v>
      </c>
      <c r="K92" s="429"/>
    </row>
    <row r="93" spans="1:11" s="19" customFormat="1" ht="3" customHeight="1">
      <c r="B93" s="430"/>
      <c r="C93" s="431"/>
      <c r="D93" s="431"/>
      <c r="E93" s="432"/>
      <c r="F93" s="433"/>
      <c r="G93" s="434"/>
      <c r="H93" s="434"/>
      <c r="I93" s="421"/>
      <c r="J93" s="434"/>
      <c r="K93" s="430"/>
    </row>
    <row r="94" spans="1:11" s="19" customFormat="1" ht="12.75" customHeight="1">
      <c r="A94" s="435" t="s">
        <v>13</v>
      </c>
      <c r="B94" s="430"/>
      <c r="C94" s="431"/>
      <c r="D94" s="431"/>
      <c r="E94" s="436">
        <v>0.04</v>
      </c>
      <c r="F94" s="433"/>
      <c r="H94" s="177"/>
      <c r="I94" s="421">
        <f>ROUND(I92*E94,2)</f>
        <v>74709</v>
      </c>
      <c r="J94" s="437"/>
      <c r="K94" s="430"/>
    </row>
    <row r="95" spans="1:11" s="19" customFormat="1" ht="3" customHeight="1">
      <c r="A95" s="438"/>
      <c r="B95" s="439"/>
      <c r="C95" s="440"/>
      <c r="D95" s="440"/>
      <c r="E95" s="441"/>
      <c r="F95" s="441"/>
      <c r="G95" s="442"/>
      <c r="H95" s="442"/>
      <c r="I95" s="443"/>
      <c r="J95" s="444"/>
      <c r="K95" s="430"/>
    </row>
    <row r="96" spans="1:11" s="19" customFormat="1" ht="3" customHeight="1">
      <c r="B96" s="430"/>
      <c r="C96" s="431"/>
      <c r="D96" s="431"/>
      <c r="E96" s="445"/>
      <c r="F96" s="445"/>
      <c r="G96" s="444"/>
      <c r="H96" s="444"/>
      <c r="I96" s="421"/>
      <c r="J96" s="444"/>
      <c r="K96" s="430"/>
    </row>
    <row r="97" spans="1:11" s="19" customFormat="1" ht="12.75" customHeight="1">
      <c r="A97" s="446" t="s">
        <v>181</v>
      </c>
      <c r="B97" s="447"/>
      <c r="C97" s="448"/>
      <c r="D97" s="448"/>
      <c r="E97" s="445"/>
      <c r="F97" s="445"/>
      <c r="G97" s="444"/>
      <c r="H97" s="444"/>
      <c r="I97" s="449">
        <f>I92+I94</f>
        <v>1942429</v>
      </c>
      <c r="J97" s="444"/>
      <c r="K97" s="447"/>
    </row>
    <row r="98" spans="1:11" s="19" customFormat="1" ht="12.75" customHeight="1">
      <c r="A98" s="19" t="s">
        <v>14</v>
      </c>
      <c r="B98" s="430"/>
      <c r="D98" s="431"/>
      <c r="E98" s="437">
        <v>0.2</v>
      </c>
      <c r="F98" s="445"/>
      <c r="H98" s="437"/>
      <c r="I98" s="421">
        <f>ROUND(I97*E98,2)</f>
        <v>388486</v>
      </c>
      <c r="J98" s="437"/>
      <c r="K98" s="430"/>
    </row>
    <row r="99" spans="1:11" s="19" customFormat="1" ht="12.75" customHeight="1">
      <c r="A99" s="450" t="s">
        <v>182</v>
      </c>
      <c r="B99" s="451"/>
      <c r="C99" s="452"/>
      <c r="D99" s="452"/>
      <c r="E99" s="453"/>
      <c r="F99" s="454"/>
      <c r="G99" s="453"/>
      <c r="H99" s="453"/>
      <c r="I99" s="455">
        <f>SUM(I97:I98)</f>
        <v>2330915</v>
      </c>
      <c r="J99" s="456"/>
      <c r="K99" s="447"/>
    </row>
    <row r="100" spans="1:11" s="457" customFormat="1" ht="12" customHeight="1">
      <c r="A100" s="457" t="s">
        <v>106</v>
      </c>
      <c r="B100" s="458"/>
      <c r="C100" s="458"/>
      <c r="E100" s="459">
        <f>I97/E35</f>
        <v>6.8273E-2</v>
      </c>
      <c r="H100" s="460"/>
      <c r="K100" s="461"/>
    </row>
  </sheetData>
  <sheetProtection algorithmName="SHA-512" hashValue="p2okpjfeuEOgTKmPLDF2RA2z2BzXDktNhxI9DCQu3R0alrsfHda6+38dZKe/FsKrAeRfdsnHKve7J9ye7ue6yg==" saltValue="P3JfVHAVobjG1DDG9EJf6Q==" spinCount="100000" sheet="1" objects="1" scenarios="1"/>
  <mergeCells count="15">
    <mergeCell ref="I16:I17"/>
    <mergeCell ref="H1:I1"/>
    <mergeCell ref="A6:B6"/>
    <mergeCell ref="A8:B8"/>
    <mergeCell ref="A10:B10"/>
    <mergeCell ref="I13:I14"/>
    <mergeCell ref="A88:C88"/>
    <mergeCell ref="B37:D37"/>
    <mergeCell ref="H44:I44"/>
    <mergeCell ref="A20:B20"/>
    <mergeCell ref="A22:B22"/>
    <mergeCell ref="A27:B27"/>
    <mergeCell ref="A29:B29"/>
    <mergeCell ref="A31:B31"/>
    <mergeCell ref="A33:B33"/>
  </mergeCells>
  <conditionalFormatting sqref="E63 H63">
    <cfRule type="expression" dxfId="13" priority="5" stopIfTrue="1">
      <formula>$E$59&gt;1999999.99</formula>
    </cfRule>
  </conditionalFormatting>
  <conditionalFormatting sqref="E64 H64">
    <cfRule type="expression" dxfId="12" priority="6" stopIfTrue="1">
      <formula>$E$59&lt;2000000</formula>
    </cfRule>
  </conditionalFormatting>
  <conditionalFormatting sqref="H18">
    <cfRule type="expression" dxfId="11" priority="2">
      <formula>H10="Abminderung"</formula>
    </cfRule>
  </conditionalFormatting>
  <conditionalFormatting sqref="H15:I15">
    <cfRule type="expression" dxfId="10" priority="4">
      <formula>H10="Abminderung"</formula>
    </cfRule>
  </conditionalFormatting>
  <conditionalFormatting sqref="I15">
    <cfRule type="expression" dxfId="9" priority="3">
      <formula>H10="Abminderung"</formula>
    </cfRule>
  </conditionalFormatting>
  <conditionalFormatting sqref="I18">
    <cfRule type="expression" dxfId="8" priority="1">
      <formula>H10="Abminderung"</formula>
    </cfRule>
  </conditionalFormatting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&amp;L&amp;"Arial,Fett"&amp;K01+031Angebot Objektplanung Architektur (Planung + Örtliche Bauaufsicht) - Umbau
&amp;"Arial,Standard"nach VM.OA.2023&amp;R&amp;"Arial,Standard"&amp;K01+032Version  1
Stand: 15.09.2023</oddHeader>
    <oddFooter>&amp;L&amp;"Arial,Fett"&amp;K01+037LM.VM.2023&amp;"Arial,Standard"  | Objektplanung Architekt  |  Angebotsformular&amp;R&amp;"Arial,Standard"&amp;K01+037&amp;P/&amp;N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Scroll Bar 1">
              <controlPr defaultSize="0" autoPict="0">
                <anchor moveWithCells="1">
                  <from>
                    <xdr:col>7</xdr:col>
                    <xdr:colOff>28575</xdr:colOff>
                    <xdr:row>44</xdr:row>
                    <xdr:rowOff>19050</xdr:rowOff>
                  </from>
                  <to>
                    <xdr:col>8</xdr:col>
                    <xdr:colOff>1019175</xdr:colOff>
                    <xdr:row>44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19050</xdr:rowOff>
                  </from>
                  <to>
                    <xdr:col>8</xdr:col>
                    <xdr:colOff>1019175</xdr:colOff>
                    <xdr:row>46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Scroll Bar 4">
              <controlPr defaultSize="0" autoPict="0">
                <anchor moveWithCells="1">
                  <from>
                    <xdr:col>7</xdr:col>
                    <xdr:colOff>28575</xdr:colOff>
                    <xdr:row>47</xdr:row>
                    <xdr:rowOff>19050</xdr:rowOff>
                  </from>
                  <to>
                    <xdr:col>8</xdr:col>
                    <xdr:colOff>1019175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Scroll Bar 5">
              <controlPr defaultSize="0" autoPict="0">
                <anchor moveWithCells="1">
                  <from>
                    <xdr:col>7</xdr:col>
                    <xdr:colOff>28575</xdr:colOff>
                    <xdr:row>49</xdr:row>
                    <xdr:rowOff>19050</xdr:rowOff>
                  </from>
                  <to>
                    <xdr:col>8</xdr:col>
                    <xdr:colOff>1019175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Scroll Bar 6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8</xdr:col>
                    <xdr:colOff>1019175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Scroll Bar 7">
              <controlPr defaultSize="0" autoPict="0">
                <anchor moveWithCells="1">
                  <from>
                    <xdr:col>7</xdr:col>
                    <xdr:colOff>28575</xdr:colOff>
                    <xdr:row>51</xdr:row>
                    <xdr:rowOff>19050</xdr:rowOff>
                  </from>
                  <to>
                    <xdr:col>8</xdr:col>
                    <xdr:colOff>1019175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1" name="Scroll Bar 9">
              <controlPr defaultSize="0" autoPict="0">
                <anchor moveWithCells="1">
                  <from>
                    <xdr:col>7</xdr:col>
                    <xdr:colOff>28575</xdr:colOff>
                    <xdr:row>52</xdr:row>
                    <xdr:rowOff>19050</xdr:rowOff>
                  </from>
                  <to>
                    <xdr:col>8</xdr:col>
                    <xdr:colOff>1019175</xdr:colOff>
                    <xdr:row>52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2AD3-4C32-4713-84AF-1EA54392E6D9}">
  <sheetPr>
    <tabColor theme="6"/>
  </sheetPr>
  <dimension ref="A1:J96"/>
  <sheetViews>
    <sheetView showGridLines="0" zoomScaleNormal="100" zoomScaleSheetLayoutView="145" zoomScalePageLayoutView="55" workbookViewId="0">
      <selection activeCell="N66" sqref="N66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C2" s="7"/>
      <c r="G2" s="38"/>
      <c r="H2" s="648" t="s">
        <v>244</v>
      </c>
      <c r="I2" s="648"/>
      <c r="J2" s="550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</row>
    <row r="4" spans="1:10" s="10" customFormat="1" ht="3.95" customHeight="1">
      <c r="I4" s="2"/>
    </row>
    <row r="5" spans="1:10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</row>
    <row r="6" spans="1:10" s="10" customFormat="1" ht="3.95" customHeight="1">
      <c r="E6" s="67"/>
      <c r="I6" s="2"/>
    </row>
    <row r="7" spans="1:10" s="11" customFormat="1" ht="12.75" customHeight="1">
      <c r="A7" s="645">
        <v>1</v>
      </c>
      <c r="B7" s="645"/>
      <c r="C7" s="76" t="s">
        <v>0</v>
      </c>
      <c r="D7" s="135">
        <f>E7/$E$28</f>
        <v>1E-3</v>
      </c>
      <c r="E7" s="479">
        <f>_1</f>
        <v>15000</v>
      </c>
      <c r="F7" s="72"/>
      <c r="G7" s="72"/>
      <c r="H7" s="104">
        <v>0</v>
      </c>
      <c r="I7" s="147">
        <f>E7*H7</f>
        <v>0</v>
      </c>
    </row>
    <row r="8" spans="1:10" ht="3.95" customHeight="1">
      <c r="B8" s="4"/>
      <c r="C8" s="1"/>
      <c r="D8" s="136"/>
      <c r="E8" s="44"/>
      <c r="H8" s="88"/>
      <c r="I8" s="124"/>
    </row>
    <row r="9" spans="1:10" s="11" customFormat="1" ht="12.95" customHeight="1">
      <c r="A9" s="645">
        <v>2</v>
      </c>
      <c r="B9" s="645"/>
      <c r="C9" s="76" t="s">
        <v>1</v>
      </c>
      <c r="D9" s="135">
        <f>E9/$E$28</f>
        <v>0.316</v>
      </c>
      <c r="E9" s="479">
        <f>_2</f>
        <v>9000000</v>
      </c>
      <c r="F9" s="72"/>
      <c r="G9" s="72"/>
      <c r="H9" s="105">
        <v>0</v>
      </c>
      <c r="I9" s="147">
        <f>E9*H9</f>
        <v>0</v>
      </c>
    </row>
    <row r="10" spans="1:10" ht="3.95" customHeight="1">
      <c r="C10" s="1"/>
      <c r="D10" s="136"/>
      <c r="E10" s="34"/>
      <c r="H10" s="88"/>
      <c r="I10" s="123"/>
    </row>
    <row r="11" spans="1:10" s="10" customFormat="1" ht="12.95" customHeight="1">
      <c r="A11" s="645">
        <v>3</v>
      </c>
      <c r="B11" s="645"/>
      <c r="C11" s="76" t="s">
        <v>7</v>
      </c>
      <c r="D11" s="135">
        <f>E11/$E$28</f>
        <v>0.19900000000000001</v>
      </c>
      <c r="E11" s="502">
        <f>_3</f>
        <v>5650000</v>
      </c>
      <c r="F11" s="72"/>
      <c r="G11" s="72"/>
      <c r="H11" s="105">
        <v>0</v>
      </c>
      <c r="I11" s="147">
        <f>E11*H11</f>
        <v>0</v>
      </c>
    </row>
    <row r="12" spans="1:10" ht="3.95" customHeight="1">
      <c r="C12" s="1"/>
      <c r="D12" s="136"/>
      <c r="E12" s="34"/>
      <c r="H12" s="106"/>
      <c r="I12" s="123"/>
    </row>
    <row r="13" spans="1:10" s="10" customFormat="1" ht="12.75" customHeight="1">
      <c r="A13" s="645">
        <v>4</v>
      </c>
      <c r="B13" s="645"/>
      <c r="C13" s="76" t="s">
        <v>2</v>
      </c>
      <c r="D13" s="135">
        <f>E13/$E$28</f>
        <v>0.21099999999999999</v>
      </c>
      <c r="E13" s="479">
        <f>_4</f>
        <v>6000000</v>
      </c>
      <c r="F13" s="72"/>
      <c r="G13" s="72"/>
      <c r="H13" s="105">
        <v>0</v>
      </c>
      <c r="I13" s="147">
        <f>E13*H13</f>
        <v>0</v>
      </c>
    </row>
    <row r="14" spans="1:10" ht="3.95" customHeight="1">
      <c r="B14" s="4"/>
      <c r="C14" s="1"/>
      <c r="D14" s="136"/>
      <c r="E14" s="34"/>
      <c r="H14" s="88"/>
      <c r="I14" s="123"/>
    </row>
    <row r="15" spans="1:10" s="11" customFormat="1" ht="12.95" customHeight="1">
      <c r="A15" s="645">
        <v>5</v>
      </c>
      <c r="B15" s="645"/>
      <c r="C15" s="76" t="s">
        <v>9</v>
      </c>
      <c r="D15" s="135">
        <f>E15/$E$28</f>
        <v>5.8000000000000003E-2</v>
      </c>
      <c r="E15" s="503">
        <f>_5</f>
        <v>1650000</v>
      </c>
      <c r="F15" s="72"/>
      <c r="G15" s="72"/>
      <c r="H15" s="88"/>
      <c r="I15" s="190"/>
    </row>
    <row r="16" spans="1:10" ht="12.95" customHeight="1">
      <c r="A16" s="340">
        <v>5</v>
      </c>
      <c r="B16" s="86" t="s">
        <v>17</v>
      </c>
      <c r="C16" s="80" t="s">
        <v>126</v>
      </c>
      <c r="D16" s="137"/>
      <c r="E16" s="504">
        <f>_5.01</f>
        <v>600000</v>
      </c>
      <c r="F16" s="72"/>
      <c r="G16" s="72"/>
      <c r="H16" s="105">
        <v>1</v>
      </c>
      <c r="I16" s="208">
        <f>H16*E16</f>
        <v>600000</v>
      </c>
    </row>
    <row r="17" spans="1:9" ht="12.95" customHeight="1">
      <c r="A17" s="340">
        <v>5</v>
      </c>
      <c r="B17" s="87" t="s">
        <v>19</v>
      </c>
      <c r="C17" s="246" t="s">
        <v>183</v>
      </c>
      <c r="D17" s="247"/>
      <c r="E17" s="504">
        <f>_5.02</f>
        <v>1000000</v>
      </c>
      <c r="F17" s="72"/>
      <c r="G17" s="72"/>
      <c r="H17" s="105">
        <v>0.6</v>
      </c>
      <c r="I17" s="208">
        <f>H17*E17</f>
        <v>600000</v>
      </c>
    </row>
    <row r="18" spans="1:9" ht="12.95" customHeight="1">
      <c r="A18" s="340">
        <v>5</v>
      </c>
      <c r="B18" s="87" t="s">
        <v>20</v>
      </c>
      <c r="C18" s="84" t="s">
        <v>52</v>
      </c>
      <c r="D18" s="138"/>
      <c r="E18" s="504">
        <f>_5.03</f>
        <v>50000</v>
      </c>
      <c r="F18" s="72"/>
      <c r="G18" s="72"/>
      <c r="H18" s="105">
        <v>0</v>
      </c>
      <c r="I18" s="208">
        <f>E18*H18</f>
        <v>0</v>
      </c>
    </row>
    <row r="19" spans="1:9" ht="3.95" customHeight="1">
      <c r="C19" s="1"/>
      <c r="D19" s="136"/>
      <c r="E19" s="34"/>
      <c r="H19" s="88"/>
      <c r="I19" s="123"/>
    </row>
    <row r="20" spans="1:9" s="10" customFormat="1" ht="12.95" customHeight="1">
      <c r="A20" s="645">
        <v>6</v>
      </c>
      <c r="B20" s="645"/>
      <c r="C20" s="76" t="s">
        <v>3</v>
      </c>
      <c r="D20" s="135">
        <f>E20/$E$28</f>
        <v>1.7999999999999999E-2</v>
      </c>
      <c r="E20" s="479">
        <f>_6</f>
        <v>500000</v>
      </c>
      <c r="F20" s="72"/>
      <c r="G20" s="72"/>
      <c r="H20" s="105">
        <v>0</v>
      </c>
      <c r="I20" s="147">
        <f>E20*H20</f>
        <v>0</v>
      </c>
    </row>
    <row r="21" spans="1:9" ht="3.95" customHeight="1">
      <c r="B21" s="13"/>
      <c r="C21" s="1"/>
      <c r="D21" s="139"/>
      <c r="E21" s="34"/>
      <c r="H21" s="88"/>
      <c r="I21" s="123"/>
    </row>
    <row r="22" spans="1:9" s="11" customFormat="1" ht="12.95" customHeight="1">
      <c r="A22" s="645">
        <v>7</v>
      </c>
      <c r="B22" s="645"/>
      <c r="C22" s="76" t="s">
        <v>113</v>
      </c>
      <c r="D22" s="135">
        <f>E22/$E$28</f>
        <v>0.14099999999999999</v>
      </c>
      <c r="E22" s="479">
        <f>_7</f>
        <v>4000000</v>
      </c>
      <c r="F22" s="72"/>
      <c r="G22" s="72"/>
      <c r="H22" s="105">
        <v>0</v>
      </c>
      <c r="I22" s="147">
        <f>E22*H22</f>
        <v>0</v>
      </c>
    </row>
    <row r="23" spans="1:9" ht="3.95" customHeight="1">
      <c r="C23" s="1"/>
      <c r="D23" s="139"/>
      <c r="E23" s="34"/>
      <c r="H23" s="88"/>
      <c r="I23" s="123"/>
    </row>
    <row r="24" spans="1:9" s="11" customFormat="1" ht="12.95" customHeight="1">
      <c r="A24" s="645">
        <v>8</v>
      </c>
      <c r="B24" s="645"/>
      <c r="C24" s="76" t="s">
        <v>105</v>
      </c>
      <c r="D24" s="135">
        <f>E24/$E$28</f>
        <v>1E-3</v>
      </c>
      <c r="E24" s="479">
        <f>_8</f>
        <v>36000</v>
      </c>
      <c r="F24" s="72"/>
      <c r="G24" s="72"/>
      <c r="H24" s="105">
        <v>0</v>
      </c>
      <c r="I24" s="147">
        <f>E24*H24</f>
        <v>0</v>
      </c>
    </row>
    <row r="25" spans="1:9" ht="3.95" customHeight="1">
      <c r="C25" s="1"/>
      <c r="D25" s="139"/>
      <c r="E25" s="34"/>
      <c r="H25" s="106"/>
      <c r="I25" s="123"/>
    </row>
    <row r="26" spans="1:9" s="11" customFormat="1" ht="12.95" customHeight="1">
      <c r="A26" s="645">
        <v>9</v>
      </c>
      <c r="B26" s="645"/>
      <c r="C26" s="76" t="s">
        <v>10</v>
      </c>
      <c r="D26" s="135">
        <f>E26/$E$28</f>
        <v>5.6000000000000001E-2</v>
      </c>
      <c r="E26" s="479">
        <f>_9</f>
        <v>1600000</v>
      </c>
      <c r="F26" s="72"/>
      <c r="G26" s="72"/>
      <c r="H26" s="105">
        <v>0.03</v>
      </c>
      <c r="I26" s="147">
        <f>E26*H26</f>
        <v>48000</v>
      </c>
    </row>
    <row r="27" spans="1:9" ht="3.95" customHeight="1">
      <c r="B27" s="13"/>
      <c r="C27" s="5"/>
      <c r="D27" s="32"/>
      <c r="E27" s="23"/>
      <c r="I27" s="1"/>
    </row>
    <row r="28" spans="1:9" ht="12.95" customHeight="1">
      <c r="A28" s="113" t="s">
        <v>12</v>
      </c>
      <c r="B28" s="114"/>
      <c r="C28" s="114"/>
      <c r="D28" s="71">
        <f>SUM(D7:D26)</f>
        <v>1</v>
      </c>
      <c r="E28" s="486">
        <f>_EK</f>
        <v>28451000</v>
      </c>
      <c r="F28" s="64"/>
      <c r="G28" s="64"/>
      <c r="H28" s="176"/>
      <c r="I28" s="90">
        <f>SUM(I7:I26)</f>
        <v>1248000</v>
      </c>
    </row>
    <row r="29" spans="1:9" ht="3.95" customHeight="1">
      <c r="B29" s="248"/>
      <c r="D29" s="32"/>
      <c r="E29" s="23"/>
      <c r="H29" s="8"/>
      <c r="I29" s="9"/>
    </row>
    <row r="30" spans="1:9" s="10" customFormat="1" ht="12.95" customHeight="1">
      <c r="A30" s="645"/>
      <c r="B30" s="645"/>
      <c r="C30" s="75" t="s">
        <v>130</v>
      </c>
      <c r="D30" s="135"/>
      <c r="E30" s="479">
        <f>_mvB</f>
        <v>120000</v>
      </c>
      <c r="F30" s="72"/>
      <c r="G30" s="72"/>
      <c r="H30" s="105">
        <v>1</v>
      </c>
      <c r="I30" s="147">
        <f>E30*H30</f>
        <v>120000</v>
      </c>
    </row>
    <row r="31" spans="1:9" ht="3.95" customHeight="1">
      <c r="H31" s="8"/>
      <c r="I31" s="9"/>
    </row>
    <row r="32" spans="1:9" s="14" customFormat="1" ht="12.95" customHeight="1">
      <c r="A32" s="191" t="s">
        <v>32</v>
      </c>
      <c r="B32" s="192"/>
      <c r="C32" s="192"/>
      <c r="D32" s="192"/>
      <c r="E32" s="203"/>
      <c r="F32" s="203"/>
      <c r="G32" s="203"/>
      <c r="H32" s="204"/>
      <c r="I32" s="205">
        <f>SUM(I28:I30)</f>
        <v>1368000</v>
      </c>
    </row>
    <row r="33" spans="1:10" s="16" customFormat="1" ht="3.95" customHeight="1">
      <c r="B33" s="18"/>
      <c r="C33" s="18"/>
      <c r="I33" s="153"/>
      <c r="J33" s="153"/>
    </row>
    <row r="34" spans="1:10" ht="9" customHeight="1">
      <c r="B34" s="15"/>
      <c r="J34" s="249"/>
    </row>
    <row r="35" spans="1:10" ht="3.95" customHeight="1">
      <c r="A35" s="156"/>
      <c r="B35" s="156"/>
      <c r="C35" s="156"/>
      <c r="D35" s="156"/>
      <c r="E35" s="156"/>
      <c r="F35" s="156"/>
      <c r="G35" s="156"/>
      <c r="H35" s="156"/>
      <c r="J35" s="177"/>
    </row>
    <row r="36" spans="1:10" ht="12.75" customHeight="1">
      <c r="A36" s="154" t="s">
        <v>152</v>
      </c>
      <c r="B36" s="154"/>
      <c r="C36" s="154"/>
      <c r="D36" s="155"/>
      <c r="E36" s="155"/>
      <c r="F36" s="155"/>
      <c r="G36" s="155"/>
      <c r="H36" s="155"/>
      <c r="I36" s="154"/>
      <c r="J36" s="551"/>
    </row>
    <row r="37" spans="1:10" ht="3.95" customHeight="1">
      <c r="A37" s="156"/>
      <c r="B37" s="156"/>
      <c r="C37" s="156"/>
      <c r="D37" s="156"/>
      <c r="E37" s="156"/>
      <c r="F37" s="156"/>
      <c r="G37" s="156"/>
      <c r="H37" s="156"/>
      <c r="J37" s="177"/>
    </row>
    <row r="38" spans="1:10" ht="12.75" customHeight="1">
      <c r="A38" s="157" t="s">
        <v>78</v>
      </c>
      <c r="B38" s="156"/>
      <c r="C38" s="156"/>
      <c r="D38" s="156"/>
      <c r="E38" s="156"/>
      <c r="F38" s="156"/>
      <c r="G38" s="156"/>
      <c r="H38" s="8"/>
      <c r="I38" s="177"/>
    </row>
    <row r="39" spans="1:10" ht="12.75" customHeight="1">
      <c r="A39" s="19"/>
      <c r="B39" s="19"/>
      <c r="C39" s="19"/>
      <c r="E39" s="158" t="s">
        <v>5</v>
      </c>
      <c r="F39" s="159" t="s">
        <v>4</v>
      </c>
      <c r="H39" s="652" t="s">
        <v>243</v>
      </c>
      <c r="I39" s="652"/>
    </row>
    <row r="40" spans="1:10" ht="12.75" customHeight="1">
      <c r="B40" s="20" t="s">
        <v>46</v>
      </c>
      <c r="C40" s="41"/>
      <c r="D40" s="35"/>
      <c r="E40" s="117">
        <v>9</v>
      </c>
      <c r="F40" s="160" t="s">
        <v>56</v>
      </c>
      <c r="H40" s="462"/>
      <c r="I40" s="463"/>
    </row>
    <row r="41" spans="1:10" ht="12.75" customHeight="1">
      <c r="B41" s="21" t="s">
        <v>47</v>
      </c>
      <c r="C41" s="42"/>
      <c r="D41" s="36"/>
      <c r="E41" s="118">
        <v>1</v>
      </c>
      <c r="F41" s="161" t="s">
        <v>57</v>
      </c>
      <c r="H41" s="464"/>
      <c r="I41" s="465"/>
    </row>
    <row r="42" spans="1:10" ht="12.75" customHeight="1">
      <c r="B42" s="21" t="s">
        <v>48</v>
      </c>
      <c r="C42" s="42"/>
      <c r="D42" s="36"/>
      <c r="E42" s="118">
        <v>1</v>
      </c>
      <c r="F42" s="161" t="s">
        <v>57</v>
      </c>
      <c r="H42" s="464"/>
      <c r="I42" s="465"/>
    </row>
    <row r="43" spans="1:10" ht="12.75" customHeight="1">
      <c r="B43" s="21" t="s">
        <v>49</v>
      </c>
      <c r="C43" s="36"/>
      <c r="D43" s="36"/>
      <c r="E43" s="118">
        <v>1</v>
      </c>
      <c r="F43" s="161" t="s">
        <v>57</v>
      </c>
      <c r="H43" s="466"/>
      <c r="I43" s="467"/>
    </row>
    <row r="44" spans="1:10" ht="3.95" customHeight="1">
      <c r="A44" s="19"/>
      <c r="B44" s="19"/>
      <c r="C44" s="19"/>
      <c r="E44" s="162"/>
      <c r="F44" s="162"/>
      <c r="J44" s="238"/>
    </row>
    <row r="45" spans="1:10" ht="12.75" customHeight="1">
      <c r="B45" s="19" t="s">
        <v>45</v>
      </c>
      <c r="C45" s="1"/>
      <c r="D45" s="163"/>
      <c r="E45" s="165">
        <f>SUM(E40:E44)</f>
        <v>12</v>
      </c>
      <c r="F45" s="164"/>
      <c r="J45" s="238"/>
    </row>
    <row r="46" spans="1:10" ht="12.95" customHeight="1">
      <c r="B46" s="19"/>
      <c r="C46" s="1"/>
      <c r="D46" s="164"/>
      <c r="E46" s="164"/>
      <c r="F46" s="164"/>
      <c r="J46" s="238"/>
    </row>
    <row r="47" spans="1:10" ht="12.95" customHeight="1">
      <c r="A47" s="157" t="s">
        <v>15</v>
      </c>
      <c r="B47" s="157"/>
      <c r="C47" s="156"/>
      <c r="D47" s="156"/>
      <c r="E47" s="156"/>
      <c r="F47" s="156"/>
      <c r="I47" s="251"/>
      <c r="J47" s="1"/>
    </row>
    <row r="48" spans="1:10" ht="3.95" customHeight="1">
      <c r="A48" s="157"/>
      <c r="B48" s="157"/>
      <c r="C48" s="157"/>
      <c r="D48" s="157"/>
      <c r="J48" s="1"/>
    </row>
    <row r="49" spans="1:10" ht="12.75" customHeight="1">
      <c r="A49" s="166" t="s">
        <v>11</v>
      </c>
      <c r="B49" s="166"/>
      <c r="C49" s="1"/>
      <c r="E49" s="195">
        <f>I32</f>
        <v>1368000</v>
      </c>
      <c r="I49" s="654" t="str">
        <f>IF(E49&lt;100000,"! gemäß ED.9 (3): Wenn die Bemessungsgrundlage niedriger ist als 100.000 €, sollte der Ermittlungsweg über Abschätzung des Büro- / Personalaufwandes gewählt werden","")</f>
        <v/>
      </c>
      <c r="J49" s="654"/>
    </row>
    <row r="50" spans="1:10" ht="3.95" customHeight="1">
      <c r="A50" s="19"/>
      <c r="B50" s="19"/>
      <c r="C50" s="19"/>
      <c r="D50" s="19"/>
      <c r="E50" s="19"/>
      <c r="F50" s="19"/>
      <c r="G50" s="163"/>
      <c r="I50" s="654"/>
      <c r="J50" s="654"/>
    </row>
    <row r="51" spans="1:10" ht="12.75" customHeight="1">
      <c r="A51" s="655" t="s">
        <v>259</v>
      </c>
      <c r="B51" s="655"/>
      <c r="C51" s="655"/>
      <c r="D51" s="655"/>
      <c r="E51" s="655"/>
      <c r="F51" s="1" t="s">
        <v>184</v>
      </c>
      <c r="G51" s="111"/>
      <c r="I51" s="654"/>
      <c r="J51" s="654"/>
    </row>
    <row r="52" spans="1:10" ht="12.95" customHeight="1">
      <c r="A52" s="19"/>
      <c r="B52" s="19"/>
      <c r="C52" s="19"/>
      <c r="D52" s="19"/>
      <c r="E52" s="163"/>
      <c r="I52" s="654"/>
      <c r="J52" s="654"/>
    </row>
    <row r="53" spans="1:10" ht="13.5" customHeight="1">
      <c r="A53" s="468" t="str">
        <f>IF(A51="in Zusammenhang mit baulichen Planungsleistungen","Faktor aus Bewertungspunkten [fbw = 0,025 x bw +0,65]","Faktor aus Bewertungspunkten [fbw = 0,025 x bw +0,675]")</f>
        <v>Faktor aus Bewertungspunkten [fbw = 0,025 x bw +0,675]</v>
      </c>
      <c r="B53" s="24"/>
      <c r="C53" s="24"/>
      <c r="D53" s="24"/>
      <c r="E53" s="469">
        <f>IF(A51="in Zusammenhang mit baulichen Planungsleistungen",0.025*E45+0.65,0.025*E45+0.675)</f>
        <v>0.98</v>
      </c>
      <c r="F53" s="121"/>
      <c r="I53" s="654"/>
      <c r="J53" s="654"/>
    </row>
    <row r="54" spans="1:10" ht="3.95" customHeight="1">
      <c r="B54" s="1"/>
      <c r="C54" s="1"/>
      <c r="E54" s="29"/>
      <c r="F54" s="121"/>
      <c r="I54" s="654"/>
      <c r="J54" s="654"/>
    </row>
    <row r="55" spans="1:10" ht="13.5" customHeight="1">
      <c r="A55" s="33" t="str">
        <f>IF(A51="in Zusammenhang mit baulichen Planungsleistungen","%-Satz für ED [h1ED = 60,0 x (BMGL)^(-0,1045) x fbw]","%-Satz für ED [h2ED = 72,8 x (BMGL)^(-0,1041) x fbw]")</f>
        <v>%-Satz für ED [h2ED = 72,8 x (BMGL)^(-0,1041) x fbw]</v>
      </c>
      <c r="B55" s="1"/>
      <c r="C55" s="1"/>
      <c r="E55" s="491">
        <f>ROUND(IF(A51="in Zusammenhang mit baulichen Planungsleistungen (OA)",(60*E49^(-0.1045)*E53)/100,(72.8*E49^(-0.1041)*E53)/100),6)</f>
        <v>0.134325</v>
      </c>
      <c r="F55" s="207" t="s">
        <v>108</v>
      </c>
      <c r="I55" s="654"/>
      <c r="J55" s="654"/>
    </row>
    <row r="56" spans="1:10" ht="13.5" customHeight="1">
      <c r="A56" s="33" t="s">
        <v>185</v>
      </c>
      <c r="B56" s="1"/>
      <c r="C56" s="1"/>
      <c r="E56" s="222">
        <v>0</v>
      </c>
      <c r="F56" s="207"/>
      <c r="I56" s="654"/>
      <c r="J56" s="654"/>
    </row>
    <row r="57" spans="1:10" ht="3.95" customHeight="1">
      <c r="A57" s="19"/>
      <c r="B57" s="19"/>
      <c r="C57" s="19"/>
      <c r="E57" s="167"/>
      <c r="F57" s="167"/>
      <c r="I57" s="654"/>
      <c r="J57" s="654"/>
    </row>
    <row r="58" spans="1:10" ht="15" customHeight="1">
      <c r="A58" s="22" t="s">
        <v>186</v>
      </c>
      <c r="B58" s="20"/>
      <c r="C58" s="20"/>
      <c r="D58" s="168"/>
      <c r="E58" s="169"/>
      <c r="F58" s="470">
        <f>ROUND(E49*E55*(1+E56),2)</f>
        <v>183757</v>
      </c>
      <c r="J58" s="1"/>
    </row>
    <row r="59" spans="1:10" ht="15" customHeight="1">
      <c r="A59" s="24"/>
      <c r="B59" s="19"/>
      <c r="C59" s="19"/>
      <c r="D59" s="156"/>
      <c r="E59" s="156"/>
      <c r="F59" s="156"/>
      <c r="G59" s="170"/>
      <c r="H59" s="170"/>
      <c r="J59" s="1"/>
    </row>
    <row r="60" spans="1:10" ht="12.95" customHeight="1">
      <c r="A60" s="24"/>
      <c r="B60" s="19"/>
      <c r="C60" s="19"/>
      <c r="D60" s="275" t="s">
        <v>147</v>
      </c>
      <c r="E60" s="270" t="s">
        <v>5</v>
      </c>
      <c r="F60" s="170"/>
      <c r="J60" s="30"/>
    </row>
    <row r="61" spans="1:10" ht="12.75" customHeight="1">
      <c r="A61" s="156" t="s">
        <v>98</v>
      </c>
      <c r="B61" s="156"/>
      <c r="C61" s="171"/>
      <c r="D61" s="271">
        <v>0.02</v>
      </c>
      <c r="E61" s="222">
        <v>0.02</v>
      </c>
      <c r="F61" s="177">
        <f t="shared" ref="F61:F70" si="0">$F$58*E61</f>
        <v>3675</v>
      </c>
      <c r="J61"/>
    </row>
    <row r="62" spans="1:10" ht="12.75" customHeight="1">
      <c r="A62" s="156" t="s">
        <v>35</v>
      </c>
      <c r="B62" s="156"/>
      <c r="C62" s="171"/>
      <c r="D62" s="271">
        <v>0.09</v>
      </c>
      <c r="E62" s="223">
        <v>0.09</v>
      </c>
      <c r="F62" s="177">
        <f t="shared" si="0"/>
        <v>16538</v>
      </c>
      <c r="J62"/>
    </row>
    <row r="63" spans="1:10" ht="12.75" customHeight="1">
      <c r="A63" s="156" t="s">
        <v>36</v>
      </c>
      <c r="B63" s="156"/>
      <c r="C63" s="171"/>
      <c r="D63" s="271">
        <v>0.13</v>
      </c>
      <c r="E63" s="223">
        <v>0.13</v>
      </c>
      <c r="F63" s="177">
        <f t="shared" si="0"/>
        <v>23888</v>
      </c>
      <c r="J63"/>
    </row>
    <row r="64" spans="1:10" ht="12.75" customHeight="1">
      <c r="A64" s="156" t="s">
        <v>37</v>
      </c>
      <c r="B64" s="156"/>
      <c r="C64" s="171"/>
      <c r="D64" s="271">
        <v>0</v>
      </c>
      <c r="E64" s="223">
        <v>0</v>
      </c>
      <c r="F64" s="177">
        <f t="shared" si="0"/>
        <v>0</v>
      </c>
      <c r="J64"/>
    </row>
    <row r="65" spans="1:10" ht="12.75" customHeight="1">
      <c r="A65" s="156" t="s">
        <v>38</v>
      </c>
      <c r="B65" s="156"/>
      <c r="C65" s="171"/>
      <c r="D65" s="271">
        <v>0.28999999999999998</v>
      </c>
      <c r="E65" s="223">
        <v>0.28999999999999998</v>
      </c>
      <c r="F65" s="177">
        <f t="shared" si="0"/>
        <v>53290</v>
      </c>
      <c r="J65"/>
    </row>
    <row r="66" spans="1:10" ht="12.75" customHeight="1">
      <c r="A66" s="156" t="s">
        <v>39</v>
      </c>
      <c r="B66" s="156"/>
      <c r="C66" s="171"/>
      <c r="D66" s="271">
        <v>0.09</v>
      </c>
      <c r="E66" s="223">
        <v>0.09</v>
      </c>
      <c r="F66" s="177">
        <f t="shared" si="0"/>
        <v>16538</v>
      </c>
      <c r="J66"/>
    </row>
    <row r="67" spans="1:10" ht="12.75" customHeight="1">
      <c r="A67" s="156" t="s">
        <v>40</v>
      </c>
      <c r="B67" s="156"/>
      <c r="C67" s="171"/>
      <c r="D67" s="271">
        <v>0.04</v>
      </c>
      <c r="E67" s="223">
        <v>0.04</v>
      </c>
      <c r="F67" s="177">
        <f t="shared" si="0"/>
        <v>7350</v>
      </c>
      <c r="J67"/>
    </row>
    <row r="68" spans="1:10" ht="12.75" customHeight="1">
      <c r="A68" s="156" t="s">
        <v>54</v>
      </c>
      <c r="B68" s="156"/>
      <c r="C68" s="171"/>
      <c r="D68" s="271">
        <v>0.04</v>
      </c>
      <c r="E68" s="223">
        <v>0.04</v>
      </c>
      <c r="F68" s="177">
        <f t="shared" si="0"/>
        <v>7350</v>
      </c>
      <c r="J68"/>
    </row>
    <row r="69" spans="1:10" ht="12.75" customHeight="1">
      <c r="A69" s="156" t="s">
        <v>42</v>
      </c>
      <c r="B69" s="156"/>
      <c r="C69" s="171"/>
      <c r="D69" s="271">
        <v>0.3</v>
      </c>
      <c r="E69" s="471">
        <v>0.3</v>
      </c>
      <c r="F69" s="177">
        <f t="shared" si="0"/>
        <v>55127</v>
      </c>
      <c r="J69"/>
    </row>
    <row r="70" spans="1:10" ht="12.75" customHeight="1">
      <c r="A70" s="168" t="s">
        <v>55</v>
      </c>
      <c r="B70" s="168"/>
      <c r="C70" s="174"/>
      <c r="D70" s="272">
        <v>0</v>
      </c>
      <c r="E70" s="224">
        <v>0</v>
      </c>
      <c r="F70" s="178">
        <f t="shared" si="0"/>
        <v>0</v>
      </c>
      <c r="G70" s="169"/>
      <c r="H70" s="169"/>
      <c r="I70" s="169"/>
      <c r="J70"/>
    </row>
    <row r="71" spans="1:10" s="16" customFormat="1" ht="18.600000000000001" customHeight="1">
      <c r="A71" s="292" t="s">
        <v>44</v>
      </c>
      <c r="B71" s="417"/>
      <c r="C71" s="418"/>
      <c r="D71" s="621">
        <f>SUM(D61:D70)</f>
        <v>1</v>
      </c>
      <c r="E71" s="289">
        <f>SUM(E61:E70)</f>
        <v>1</v>
      </c>
      <c r="F71" s="288">
        <f>SUM(F61:F70)</f>
        <v>183756</v>
      </c>
      <c r="G71" s="156"/>
      <c r="I71" s="472"/>
      <c r="J71" s="17"/>
    </row>
    <row r="72" spans="1:10" ht="12.75" customHeight="1">
      <c r="A72" s="635" t="s">
        <v>187</v>
      </c>
      <c r="B72" s="156"/>
      <c r="C72" s="171"/>
      <c r="D72" s="271">
        <v>0.02</v>
      </c>
      <c r="E72" s="473">
        <v>0</v>
      </c>
      <c r="F72" s="177">
        <f>$F$58*E72</f>
        <v>0</v>
      </c>
      <c r="J72"/>
    </row>
    <row r="73" spans="1:10" ht="12.75" customHeight="1">
      <c r="A73" s="635" t="s">
        <v>188</v>
      </c>
      <c r="B73" s="156"/>
      <c r="C73" s="171"/>
      <c r="D73" s="271">
        <v>0.03</v>
      </c>
      <c r="E73" s="471">
        <v>0</v>
      </c>
      <c r="F73" s="177">
        <f>$F$58*E73</f>
        <v>0</v>
      </c>
      <c r="J73"/>
    </row>
    <row r="74" spans="1:10" ht="12.75" customHeight="1">
      <c r="A74" s="636" t="s">
        <v>258</v>
      </c>
      <c r="B74" s="168"/>
      <c r="C74" s="174"/>
      <c r="D74" s="272">
        <v>0.02</v>
      </c>
      <c r="E74" s="224">
        <v>0</v>
      </c>
      <c r="F74" s="178">
        <f>$F$58*E74</f>
        <v>0</v>
      </c>
      <c r="G74" s="169"/>
      <c r="H74" s="169"/>
      <c r="I74" s="169"/>
      <c r="J74"/>
    </row>
    <row r="75" spans="1:10" ht="13.5" customHeight="1">
      <c r="A75" s="644" t="s">
        <v>251</v>
      </c>
      <c r="B75" s="644"/>
      <c r="C75" s="644"/>
      <c r="D75" s="622">
        <f>SUM(D71:D74)</f>
        <v>1.07</v>
      </c>
      <c r="E75" s="474">
        <f>E71+SUM(E72:E74)</f>
        <v>1</v>
      </c>
      <c r="F75" s="475">
        <f>F71+SUM(F72:F74)</f>
        <v>183756</v>
      </c>
      <c r="G75" s="8"/>
      <c r="H75" s="8"/>
      <c r="I75" s="99">
        <f>F75</f>
        <v>183756</v>
      </c>
    </row>
    <row r="76" spans="1:10" ht="12.75" customHeight="1">
      <c r="A76" s="624"/>
      <c r="B76" s="624"/>
      <c r="C76" s="624"/>
      <c r="E76" s="108"/>
      <c r="G76" s="8"/>
      <c r="H76" s="8"/>
      <c r="I76"/>
    </row>
    <row r="77" spans="1:10" ht="12.75" customHeight="1">
      <c r="A77" s="620" t="s">
        <v>123</v>
      </c>
      <c r="E77" s="228">
        <v>0</v>
      </c>
      <c r="F77" s="229">
        <v>0</v>
      </c>
      <c r="G77" s="8"/>
      <c r="H77" s="8"/>
      <c r="I77" s="476">
        <f>E77*F77</f>
        <v>0</v>
      </c>
    </row>
    <row r="78" spans="1:10" ht="12.75" customHeight="1">
      <c r="E78" s="108"/>
      <c r="G78" s="8"/>
      <c r="H78" s="8"/>
      <c r="I78"/>
    </row>
    <row r="79" spans="1:10" s="24" customFormat="1" ht="12.75">
      <c r="A79" s="94" t="s">
        <v>189</v>
      </c>
      <c r="B79" s="95"/>
      <c r="C79" s="96"/>
      <c r="D79" s="96"/>
      <c r="E79" s="109"/>
      <c r="F79" s="97"/>
      <c r="G79" s="97"/>
      <c r="H79" s="97"/>
      <c r="I79" s="99">
        <f>I75+I77</f>
        <v>183756</v>
      </c>
    </row>
    <row r="80" spans="1:10" s="24" customFormat="1" ht="4.5" customHeight="1">
      <c r="B80" s="25"/>
      <c r="C80" s="26"/>
      <c r="D80" s="26"/>
      <c r="E80" s="48"/>
      <c r="F80" s="48"/>
      <c r="I80" s="91"/>
    </row>
    <row r="81" spans="1:9" s="24" customFormat="1" ht="12.75">
      <c r="A81" s="49" t="s">
        <v>13</v>
      </c>
      <c r="B81" s="25"/>
      <c r="C81" s="26"/>
      <c r="D81" s="26"/>
      <c r="E81" s="218">
        <v>0.04</v>
      </c>
      <c r="F81" s="48"/>
      <c r="I81" s="91">
        <f>ROUND(I79*E81,2)</f>
        <v>7350</v>
      </c>
    </row>
    <row r="82" spans="1:9" s="24" customFormat="1" ht="3" customHeight="1">
      <c r="A82" s="50"/>
      <c r="B82" s="51"/>
      <c r="C82" s="52"/>
      <c r="D82" s="52"/>
      <c r="E82" s="219"/>
      <c r="F82" s="57"/>
      <c r="G82" s="50"/>
      <c r="H82" s="50"/>
      <c r="I82" s="93"/>
    </row>
    <row r="83" spans="1:9" s="24" customFormat="1" ht="3" customHeight="1">
      <c r="B83" s="25"/>
      <c r="C83" s="26"/>
      <c r="D83" s="26"/>
      <c r="E83" s="217"/>
      <c r="F83" s="48"/>
      <c r="I83" s="91"/>
    </row>
    <row r="84" spans="1:9" s="24" customFormat="1" ht="12.75">
      <c r="A84" s="53" t="s">
        <v>190</v>
      </c>
      <c r="B84" s="54"/>
      <c r="C84" s="55"/>
      <c r="D84" s="55"/>
      <c r="E84" s="217"/>
      <c r="F84" s="48"/>
      <c r="I84" s="92">
        <f>I79+I81</f>
        <v>191106</v>
      </c>
    </row>
    <row r="85" spans="1:9" s="24" customFormat="1" ht="12.75">
      <c r="A85" s="24" t="s">
        <v>14</v>
      </c>
      <c r="B85" s="25"/>
      <c r="D85" s="26"/>
      <c r="E85" s="28">
        <v>0.2</v>
      </c>
      <c r="F85" s="28"/>
      <c r="I85" s="91">
        <f>ROUND(I84*E85,2)</f>
        <v>38221</v>
      </c>
    </row>
    <row r="86" spans="1:9" s="24" customFormat="1" ht="3" customHeight="1">
      <c r="B86" s="25"/>
      <c r="C86" s="26"/>
      <c r="D86" s="26"/>
      <c r="E86" s="48"/>
      <c r="F86" s="48"/>
      <c r="I86" s="91"/>
    </row>
    <row r="87" spans="1:9" s="24" customFormat="1" ht="12.75">
      <c r="A87" s="184" t="s">
        <v>191</v>
      </c>
      <c r="B87" s="196"/>
      <c r="C87" s="185"/>
      <c r="D87" s="185"/>
      <c r="E87" s="188"/>
      <c r="F87" s="188"/>
      <c r="G87" s="186"/>
      <c r="H87" s="186"/>
      <c r="I87" s="189">
        <f>SUM(I84:I85)</f>
        <v>229327</v>
      </c>
    </row>
    <row r="88" spans="1:9" ht="5.0999999999999996" customHeight="1"/>
    <row r="89" spans="1:9" ht="12.75">
      <c r="A89" s="198" t="s">
        <v>106</v>
      </c>
      <c r="E89" s="255">
        <f>I84/E28</f>
        <v>6.7169999999999999E-3</v>
      </c>
    </row>
    <row r="91" spans="1:9">
      <c r="A91" s="1" t="s">
        <v>192</v>
      </c>
      <c r="B91" s="37" t="s">
        <v>193</v>
      </c>
    </row>
    <row r="92" spans="1:9">
      <c r="B92" s="37" t="s">
        <v>194</v>
      </c>
    </row>
    <row r="93" spans="1:9">
      <c r="B93" s="37" t="s">
        <v>195</v>
      </c>
    </row>
    <row r="95" spans="1:9" ht="12.75">
      <c r="A95" s="119" t="s">
        <v>259</v>
      </c>
    </row>
    <row r="96" spans="1:9" ht="12.75">
      <c r="A96" s="119" t="s">
        <v>84</v>
      </c>
    </row>
  </sheetData>
  <sheetProtection algorithmName="SHA-512" hashValue="+TdfaqPjVPzJmkC80pEmmUzyMXAoTn+Ko/zlD2gxKlXSS9YBaovF8graHGEuPXGkMYfe2rlJYLBYwSiNs0U1zg==" saltValue="VsMx1p/ehe2IsMUU3APvRQ==" spinCount="100000" sheet="1" objects="1" scenarios="1"/>
  <mergeCells count="15">
    <mergeCell ref="A75:C75"/>
    <mergeCell ref="H2:I2"/>
    <mergeCell ref="H39:I39"/>
    <mergeCell ref="A26:B26"/>
    <mergeCell ref="A30:B30"/>
    <mergeCell ref="I49:J57"/>
    <mergeCell ref="A51:E51"/>
    <mergeCell ref="A20:B20"/>
    <mergeCell ref="A22:B22"/>
    <mergeCell ref="A24:B24"/>
    <mergeCell ref="A15:B15"/>
    <mergeCell ref="A7:B7"/>
    <mergeCell ref="A9:B9"/>
    <mergeCell ref="A11:B11"/>
    <mergeCell ref="A13:B13"/>
  </mergeCells>
  <dataValidations count="1">
    <dataValidation type="list" allowBlank="1" showInputMessage="1" showErrorMessage="1" sqref="A51" xr:uid="{4EAFEE37-D77C-419D-9BA2-EA53D5879D1D}">
      <formula1>$A$95:$A$96</formula1>
    </dataValidation>
  </dataValidations>
  <pageMargins left="0.70866141732283472" right="0.70866141732283472" top="0.74803149606299213" bottom="0.74803149606299213" header="0.31496062992125984" footer="0.31496062992125984"/>
  <pageSetup paperSize="9" scale="72" pageOrder="overThenDown" orientation="portrait" r:id="rId1"/>
  <headerFooter>
    <oddHeader>&amp;L&amp;"Arial,Fett"&amp;K01+036Angebot Einrichungsplanung-Design (Planung + Örtliche Bauaufsicht)&amp;"Arial,Standard"
nach VM.ED.2023&amp;R&amp;"Arial,Standard"&amp;K01+036Version 1
Stand: 15.09.2023</oddHeader>
    <oddFooter>&amp;L&amp;"Arial,Fett"&amp;K01+046LM.VM.2014&amp;"Arial,Standard"  |  Einrichtungsplanung - Design  |  Angebotsformular&amp;R&amp;"Arial,Standard"&amp;K01+046&amp;P/&amp;N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39</xdr:row>
                    <xdr:rowOff>19050</xdr:rowOff>
                  </from>
                  <to>
                    <xdr:col>8</xdr:col>
                    <xdr:colOff>1009650</xdr:colOff>
                    <xdr:row>39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Scroll Bar 2">
              <controlPr defaultSize="0" autoPict="0">
                <anchor moveWithCells="1">
                  <from>
                    <xdr:col>7</xdr:col>
                    <xdr:colOff>28575</xdr:colOff>
                    <xdr:row>40</xdr:row>
                    <xdr:rowOff>19050</xdr:rowOff>
                  </from>
                  <to>
                    <xdr:col>8</xdr:col>
                    <xdr:colOff>1009650</xdr:colOff>
                    <xdr:row>40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Scroll Bar 3">
              <controlPr defaultSize="0" autoPict="0">
                <anchor moveWithCells="1">
                  <from>
                    <xdr:col>7</xdr:col>
                    <xdr:colOff>28575</xdr:colOff>
                    <xdr:row>41</xdr:row>
                    <xdr:rowOff>19050</xdr:rowOff>
                  </from>
                  <to>
                    <xdr:col>8</xdr:col>
                    <xdr:colOff>1009650</xdr:colOff>
                    <xdr:row>41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236B6-7AEE-4213-A13E-E9E9591E5A88}">
  <sheetPr>
    <tabColor theme="6"/>
  </sheetPr>
  <dimension ref="A1:M87"/>
  <sheetViews>
    <sheetView showGridLines="0" topLeftCell="A30" zoomScaleNormal="100" zoomScaleSheetLayoutView="85" zoomScalePageLayoutView="130" workbookViewId="0">
      <selection activeCell="F73" sqref="F73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48" t="s">
        <v>196</v>
      </c>
      <c r="I2" s="648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0" customFormat="1" ht="6" customHeight="1">
      <c r="E6" s="67"/>
      <c r="I6" s="2"/>
      <c r="J6" s="2"/>
    </row>
    <row r="7" spans="1:10" s="11" customFormat="1" ht="12.95" customHeight="1">
      <c r="A7" s="645">
        <v>1</v>
      </c>
      <c r="B7" s="645"/>
      <c r="C7" s="76" t="s">
        <v>0</v>
      </c>
      <c r="D7" s="135">
        <f>E7/E25</f>
        <v>1E-3</v>
      </c>
      <c r="E7" s="495">
        <f>_1</f>
        <v>15000</v>
      </c>
      <c r="F7" s="477"/>
      <c r="G7" s="477"/>
      <c r="H7" s="478">
        <v>0</v>
      </c>
      <c r="I7" s="479">
        <f>E7*H7</f>
        <v>0</v>
      </c>
      <c r="J7" s="34"/>
    </row>
    <row r="8" spans="1:10" ht="3.95" customHeight="1">
      <c r="B8" s="4"/>
      <c r="D8" s="136"/>
      <c r="E8" s="496"/>
      <c r="F8" s="34"/>
      <c r="G8" s="34"/>
      <c r="H8" s="480"/>
      <c r="I8" s="44"/>
      <c r="J8" s="44"/>
    </row>
    <row r="9" spans="1:10" s="11" customFormat="1" ht="12.95" customHeight="1">
      <c r="A9" s="645">
        <v>2</v>
      </c>
      <c r="B9" s="645"/>
      <c r="C9" s="76" t="s">
        <v>1</v>
      </c>
      <c r="D9" s="135">
        <f>E9/E25</f>
        <v>0.316</v>
      </c>
      <c r="E9" s="495">
        <f>_2</f>
        <v>9000000</v>
      </c>
      <c r="F9" s="477"/>
      <c r="G9" s="477"/>
      <c r="H9" s="481">
        <v>0</v>
      </c>
      <c r="I9" s="479">
        <f>E9*H9</f>
        <v>0</v>
      </c>
      <c r="J9" s="34"/>
    </row>
    <row r="10" spans="1:10" ht="3.95" customHeight="1">
      <c r="D10" s="136"/>
      <c r="E10" s="497"/>
      <c r="F10" s="34"/>
      <c r="G10" s="34"/>
      <c r="H10" s="480"/>
      <c r="I10" s="34"/>
      <c r="J10" s="34"/>
    </row>
    <row r="11" spans="1:10" s="10" customFormat="1" ht="12.95" customHeight="1">
      <c r="A11" s="645">
        <v>3</v>
      </c>
      <c r="B11" s="645"/>
      <c r="C11" s="76" t="s">
        <v>7</v>
      </c>
      <c r="D11" s="135">
        <f>E11/E25</f>
        <v>0.19900000000000001</v>
      </c>
      <c r="E11" s="498">
        <f>_3</f>
        <v>5650000</v>
      </c>
      <c r="F11" s="477"/>
      <c r="G11" s="477"/>
      <c r="H11" s="481">
        <v>0</v>
      </c>
      <c r="I11" s="479">
        <f>E11*H11</f>
        <v>0</v>
      </c>
      <c r="J11" s="34"/>
    </row>
    <row r="12" spans="1:10" ht="3.95" customHeight="1">
      <c r="D12" s="136"/>
      <c r="E12" s="497"/>
      <c r="F12" s="34"/>
      <c r="G12" s="34"/>
      <c r="H12" s="482"/>
      <c r="I12" s="34"/>
      <c r="J12" s="151"/>
    </row>
    <row r="13" spans="1:10" s="10" customFormat="1" ht="12.75" customHeight="1">
      <c r="A13" s="645">
        <v>4</v>
      </c>
      <c r="B13" s="645"/>
      <c r="C13" s="76" t="s">
        <v>2</v>
      </c>
      <c r="D13" s="135">
        <f>E13/E25</f>
        <v>0.21099999999999999</v>
      </c>
      <c r="E13" s="495">
        <f>_4</f>
        <v>6000000</v>
      </c>
      <c r="F13" s="477"/>
      <c r="G13" s="477"/>
      <c r="H13" s="483">
        <v>0</v>
      </c>
      <c r="I13" s="484">
        <f>E13*H13</f>
        <v>0</v>
      </c>
      <c r="J13" s="34"/>
    </row>
    <row r="14" spans="1:10" ht="3.95" customHeight="1">
      <c r="B14" s="4"/>
      <c r="D14" s="136"/>
      <c r="E14" s="497"/>
      <c r="F14" s="34"/>
      <c r="G14" s="34"/>
      <c r="H14" s="480"/>
      <c r="I14" s="34"/>
      <c r="J14" s="33"/>
    </row>
    <row r="15" spans="1:10" s="11" customFormat="1" ht="12.95" customHeight="1">
      <c r="A15" s="645">
        <v>5</v>
      </c>
      <c r="B15" s="645"/>
      <c r="C15" s="76" t="s">
        <v>9</v>
      </c>
      <c r="D15" s="135">
        <f>E15/E25</f>
        <v>5.8000000000000003E-2</v>
      </c>
      <c r="E15" s="499">
        <f>_5</f>
        <v>1650000</v>
      </c>
      <c r="F15" s="477"/>
      <c r="G15" s="477"/>
      <c r="H15" s="483">
        <v>0</v>
      </c>
      <c r="I15" s="484">
        <f>E15*H15</f>
        <v>0</v>
      </c>
      <c r="J15" s="34"/>
    </row>
    <row r="16" spans="1:10" ht="3.95" customHeight="1">
      <c r="D16" s="136"/>
      <c r="E16" s="497"/>
      <c r="F16" s="34"/>
      <c r="G16" s="34"/>
      <c r="H16" s="480"/>
      <c r="I16" s="34"/>
      <c r="J16" s="34"/>
    </row>
    <row r="17" spans="1:10" s="10" customFormat="1" ht="12.95" customHeight="1">
      <c r="A17" s="645">
        <v>6</v>
      </c>
      <c r="B17" s="645"/>
      <c r="C17" s="76" t="s">
        <v>3</v>
      </c>
      <c r="D17" s="135">
        <f>E17/E25</f>
        <v>1.7999999999999999E-2</v>
      </c>
      <c r="E17" s="495">
        <f>_6</f>
        <v>500000</v>
      </c>
      <c r="F17" s="477"/>
      <c r="G17" s="477"/>
      <c r="H17" s="483">
        <v>1</v>
      </c>
      <c r="I17" s="484">
        <f>E17*H17</f>
        <v>500000</v>
      </c>
      <c r="J17" s="34"/>
    </row>
    <row r="18" spans="1:10" ht="3.95" customHeight="1">
      <c r="B18" s="13"/>
      <c r="D18" s="139"/>
      <c r="E18" s="497"/>
      <c r="F18" s="34"/>
      <c r="G18" s="34"/>
      <c r="H18" s="480"/>
      <c r="I18" s="34"/>
      <c r="J18" s="34"/>
    </row>
    <row r="19" spans="1:10" s="11" customFormat="1" ht="12.95" customHeight="1">
      <c r="A19" s="645">
        <v>7</v>
      </c>
      <c r="B19" s="645"/>
      <c r="C19" s="76" t="s">
        <v>113</v>
      </c>
      <c r="D19" s="135">
        <f>E19/E25</f>
        <v>0.14099999999999999</v>
      </c>
      <c r="E19" s="495">
        <f>_7</f>
        <v>4000000</v>
      </c>
      <c r="F19" s="477"/>
      <c r="G19" s="477"/>
      <c r="H19" s="483">
        <v>0</v>
      </c>
      <c r="I19" s="484">
        <f>E19*H19</f>
        <v>0</v>
      </c>
      <c r="J19" s="34"/>
    </row>
    <row r="20" spans="1:10" ht="3.95" customHeight="1">
      <c r="D20" s="139"/>
      <c r="E20" s="497"/>
      <c r="F20" s="34"/>
      <c r="G20" s="34"/>
      <c r="H20" s="480"/>
      <c r="I20" s="34"/>
      <c r="J20" s="34"/>
    </row>
    <row r="21" spans="1:10" s="11" customFormat="1" ht="12.95" customHeight="1">
      <c r="A21" s="645">
        <v>8</v>
      </c>
      <c r="B21" s="645"/>
      <c r="C21" s="76" t="s">
        <v>129</v>
      </c>
      <c r="D21" s="135">
        <f>E21/E25</f>
        <v>1E-3</v>
      </c>
      <c r="E21" s="495">
        <f>_8</f>
        <v>36000</v>
      </c>
      <c r="F21" s="477"/>
      <c r="G21" s="477"/>
      <c r="H21" s="483">
        <v>0</v>
      </c>
      <c r="I21" s="484">
        <f>E21*H21</f>
        <v>0</v>
      </c>
      <c r="J21" s="34"/>
    </row>
    <row r="22" spans="1:10" ht="3.95" customHeight="1">
      <c r="D22" s="139"/>
      <c r="E22" s="497"/>
      <c r="F22" s="34"/>
      <c r="G22" s="34"/>
      <c r="H22" s="482"/>
      <c r="I22" s="34"/>
      <c r="J22" s="151"/>
    </row>
    <row r="23" spans="1:10" s="11" customFormat="1" ht="12.95" customHeight="1">
      <c r="A23" s="645">
        <v>9</v>
      </c>
      <c r="B23" s="645"/>
      <c r="C23" s="76" t="s">
        <v>10</v>
      </c>
      <c r="D23" s="135">
        <f>E23/E25</f>
        <v>5.6000000000000001E-2</v>
      </c>
      <c r="E23" s="495">
        <f>_9</f>
        <v>1600000</v>
      </c>
      <c r="F23" s="477"/>
      <c r="G23" s="477"/>
      <c r="H23" s="483">
        <v>0.01</v>
      </c>
      <c r="I23" s="484">
        <f>E23*H23</f>
        <v>16000</v>
      </c>
      <c r="J23" s="34"/>
    </row>
    <row r="24" spans="1:10" ht="9.9499999999999993" customHeight="1">
      <c r="B24" s="13"/>
      <c r="D24" s="32"/>
      <c r="E24" s="500"/>
      <c r="F24" s="34"/>
      <c r="G24" s="34"/>
      <c r="H24" s="485"/>
      <c r="I24" s="34"/>
      <c r="J24" s="1"/>
    </row>
    <row r="25" spans="1:10" ht="12.95" customHeight="1">
      <c r="A25" s="113" t="s">
        <v>12</v>
      </c>
      <c r="B25" s="114"/>
      <c r="C25" s="114"/>
      <c r="D25" s="71">
        <f>SUM(D7:D23)</f>
        <v>1</v>
      </c>
      <c r="E25" s="501">
        <f>_EK</f>
        <v>28451000</v>
      </c>
      <c r="F25" s="477"/>
      <c r="G25" s="477"/>
      <c r="H25" s="487"/>
      <c r="I25" s="486">
        <f>SUM(I7:I23)</f>
        <v>516000</v>
      </c>
      <c r="J25" s="23"/>
    </row>
    <row r="26" spans="1:10" ht="3.95" customHeight="1">
      <c r="B26" s="248"/>
      <c r="D26" s="32"/>
      <c r="E26" s="500"/>
      <c r="F26" s="34"/>
      <c r="G26" s="34"/>
      <c r="H26" s="488"/>
      <c r="I26" s="44"/>
      <c r="J26" s="1"/>
    </row>
    <row r="27" spans="1:10" s="10" customFormat="1" ht="12.95" customHeight="1">
      <c r="A27" s="306"/>
      <c r="B27" s="75" t="s">
        <v>159</v>
      </c>
      <c r="C27" s="76"/>
      <c r="D27" s="135"/>
      <c r="E27" s="479">
        <f>_mvB</f>
        <v>120000</v>
      </c>
      <c r="F27" s="477"/>
      <c r="G27" s="477"/>
      <c r="H27" s="483">
        <v>1</v>
      </c>
      <c r="I27" s="484">
        <f>E27*H27</f>
        <v>120000</v>
      </c>
    </row>
    <row r="28" spans="1:10" ht="9.9499999999999993" customHeight="1">
      <c r="D28" s="32"/>
    </row>
    <row r="29" spans="1:10" s="14" customFormat="1" ht="12.95" customHeight="1">
      <c r="A29" s="191" t="s">
        <v>32</v>
      </c>
      <c r="B29" s="192"/>
      <c r="C29" s="192"/>
      <c r="D29" s="203"/>
      <c r="E29" s="203"/>
      <c r="F29" s="203"/>
      <c r="G29" s="203"/>
      <c r="H29" s="204"/>
      <c r="I29" s="353">
        <f>I25+I27</f>
        <v>636000</v>
      </c>
      <c r="J29" s="602"/>
    </row>
    <row r="30" spans="1:10" ht="15" customHeight="1">
      <c r="A30" s="156"/>
      <c r="B30" s="156"/>
      <c r="C30" s="156"/>
      <c r="D30" s="156"/>
      <c r="E30" s="156"/>
      <c r="F30" s="156"/>
      <c r="G30" s="156"/>
      <c r="I30" s="177"/>
    </row>
    <row r="31" spans="1:10" ht="12.75" customHeight="1">
      <c r="A31" s="154" t="s">
        <v>153</v>
      </c>
      <c r="B31" s="154"/>
      <c r="C31" s="155"/>
      <c r="D31" s="155"/>
      <c r="E31" s="155"/>
      <c r="F31" s="155"/>
      <c r="G31" s="155"/>
      <c r="H31" s="154"/>
      <c r="I31" s="250"/>
      <c r="J31" s="157"/>
    </row>
    <row r="32" spans="1:10" ht="6.75" customHeight="1">
      <c r="A32" s="156"/>
      <c r="B32" s="156"/>
      <c r="C32" s="156"/>
      <c r="D32" s="156"/>
      <c r="E32" s="156"/>
      <c r="F32" s="156"/>
      <c r="G32" s="156"/>
      <c r="I32" s="177"/>
    </row>
    <row r="33" spans="1:10" ht="12.75" customHeight="1">
      <c r="A33" s="157" t="s">
        <v>78</v>
      </c>
      <c r="B33" s="156"/>
      <c r="C33" s="156"/>
      <c r="D33" s="156"/>
      <c r="E33" s="156"/>
      <c r="F33" s="156"/>
      <c r="G33" s="156"/>
      <c r="I33" s="177"/>
    </row>
    <row r="34" spans="1:10" ht="12.75" customHeight="1">
      <c r="A34" s="19"/>
      <c r="B34" s="19"/>
      <c r="E34" s="158"/>
      <c r="F34" s="159" t="s">
        <v>4</v>
      </c>
      <c r="G34" s="159"/>
      <c r="H34" s="646" t="s">
        <v>169</v>
      </c>
      <c r="I34" s="646"/>
      <c r="J34" s="241"/>
    </row>
    <row r="35" spans="1:10" ht="12.75" customHeight="1">
      <c r="B35" s="20" t="s">
        <v>46</v>
      </c>
      <c r="C35" s="35"/>
      <c r="D35" s="35"/>
      <c r="E35" s="117">
        <v>9</v>
      </c>
      <c r="F35" s="160" t="s">
        <v>33</v>
      </c>
      <c r="G35" s="159"/>
      <c r="H35" s="305"/>
      <c r="I35" s="304"/>
      <c r="J35" s="241"/>
    </row>
    <row r="36" spans="1:10" ht="12.75" customHeight="1">
      <c r="B36" s="21" t="s">
        <v>47</v>
      </c>
      <c r="C36" s="36"/>
      <c r="D36" s="36"/>
      <c r="E36" s="118">
        <v>1</v>
      </c>
      <c r="F36" s="161" t="s">
        <v>6</v>
      </c>
      <c r="G36" s="159"/>
      <c r="H36" s="299"/>
      <c r="I36" s="303"/>
      <c r="J36" s="241"/>
    </row>
    <row r="37" spans="1:10" ht="12.75" customHeight="1">
      <c r="B37" s="21" t="s">
        <v>48</v>
      </c>
      <c r="C37" s="36"/>
      <c r="D37" s="36"/>
      <c r="E37" s="118">
        <v>1</v>
      </c>
      <c r="F37" s="161" t="s">
        <v>6</v>
      </c>
      <c r="G37" s="159"/>
      <c r="H37" s="299"/>
      <c r="I37" s="303"/>
      <c r="J37" s="241"/>
    </row>
    <row r="38" spans="1:10" ht="12.75" customHeight="1">
      <c r="B38" s="21" t="s">
        <v>49</v>
      </c>
      <c r="C38" s="36"/>
      <c r="D38" s="36"/>
      <c r="E38" s="118">
        <v>1</v>
      </c>
      <c r="F38" s="161" t="s">
        <v>6</v>
      </c>
      <c r="G38" s="159"/>
      <c r="H38" s="299"/>
      <c r="I38" s="303"/>
      <c r="J38" s="241"/>
    </row>
    <row r="39" spans="1:10" ht="4.5" customHeight="1">
      <c r="A39" s="19"/>
      <c r="B39" s="19"/>
      <c r="C39" s="19"/>
      <c r="E39" s="162"/>
      <c r="F39" s="162"/>
      <c r="G39" s="8"/>
      <c r="H39" s="305"/>
      <c r="I39" s="304"/>
      <c r="J39" s="1"/>
    </row>
    <row r="40" spans="1:10" ht="12.75" customHeight="1">
      <c r="B40" s="553"/>
      <c r="C40" s="36" t="s">
        <v>165</v>
      </c>
      <c r="D40" s="36"/>
      <c r="E40" s="118">
        <v>0</v>
      </c>
      <c r="F40" s="489" t="s">
        <v>240</v>
      </c>
      <c r="G40" s="8"/>
      <c r="H40" s="302"/>
      <c r="I40" s="301"/>
      <c r="J40" s="1"/>
    </row>
    <row r="41" spans="1:10" ht="12.75" customHeight="1">
      <c r="B41" s="553"/>
      <c r="C41" s="36" t="s">
        <v>197</v>
      </c>
      <c r="D41" s="36"/>
      <c r="E41" s="118">
        <v>0</v>
      </c>
      <c r="F41" s="489" t="s">
        <v>240</v>
      </c>
      <c r="G41" s="8"/>
      <c r="H41" s="299"/>
      <c r="I41" s="298"/>
      <c r="J41" s="1"/>
    </row>
    <row r="42" spans="1:10" ht="12.75" customHeight="1">
      <c r="B42" s="553"/>
      <c r="C42" s="36" t="s">
        <v>198</v>
      </c>
      <c r="D42" s="36"/>
      <c r="E42" s="118">
        <v>0</v>
      </c>
      <c r="F42" s="489" t="s">
        <v>239</v>
      </c>
      <c r="G42" s="8"/>
      <c r="H42" s="299"/>
      <c r="I42" s="298"/>
      <c r="J42" s="1"/>
    </row>
    <row r="43" spans="1:10" ht="4.5" customHeight="1">
      <c r="A43" s="19"/>
      <c r="B43" s="553"/>
      <c r="C43" s="164"/>
      <c r="D43" s="164"/>
      <c r="E43" s="164"/>
      <c r="F43" s="164"/>
      <c r="G43" s="164"/>
      <c r="J43" s="1"/>
    </row>
    <row r="44" spans="1:10" ht="12.75" customHeight="1">
      <c r="B44" s="19" t="s">
        <v>45</v>
      </c>
      <c r="C44" s="163"/>
      <c r="D44" s="164"/>
      <c r="E44" s="165">
        <f>SUM(E35:E42)</f>
        <v>12</v>
      </c>
      <c r="F44" s="164"/>
      <c r="G44" s="164"/>
      <c r="I44" s="490"/>
      <c r="J44" s="1"/>
    </row>
    <row r="45" spans="1:10" ht="12.95" customHeight="1">
      <c r="B45" s="19"/>
      <c r="C45" s="164"/>
      <c r="D45" s="164"/>
      <c r="E45" s="164"/>
      <c r="F45" s="164"/>
      <c r="G45" s="164"/>
      <c r="I45" s="238"/>
      <c r="J45" s="1"/>
    </row>
    <row r="46" spans="1:10" ht="12.95" customHeight="1">
      <c r="A46" s="157" t="s">
        <v>15</v>
      </c>
      <c r="B46" s="157"/>
      <c r="C46" s="156"/>
      <c r="D46" s="156"/>
      <c r="E46" s="156"/>
      <c r="F46" s="156"/>
      <c r="G46" s="156"/>
      <c r="H46" s="251"/>
      <c r="I46" s="1"/>
    </row>
    <row r="47" spans="1:10" ht="4.5" customHeight="1">
      <c r="A47" s="157"/>
      <c r="B47" s="157"/>
      <c r="C47" s="157"/>
      <c r="I47" s="1"/>
    </row>
    <row r="48" spans="1:10" ht="12.75" customHeight="1">
      <c r="A48" s="166" t="s">
        <v>11</v>
      </c>
      <c r="B48" s="166"/>
      <c r="E48" s="195">
        <f>I29</f>
        <v>636000</v>
      </c>
      <c r="I48" s="1"/>
    </row>
    <row r="49" spans="1:9" ht="3.95" customHeight="1">
      <c r="A49" s="19"/>
      <c r="B49" s="19"/>
      <c r="C49" s="19"/>
      <c r="D49" s="19"/>
      <c r="E49" s="163"/>
      <c r="F49" s="649" t="str">
        <f>IF(I29&lt;100000,"! gemäß FA.9 (2): Ist die Bemessungsgrundlage niedriger als 100.000 €, sollte der Ermittlungsweg über Abschätzung des Büro- / Personalaufwandes gewählt werden","")</f>
        <v/>
      </c>
      <c r="G49" s="649"/>
      <c r="H49" s="649"/>
      <c r="I49" s="649"/>
    </row>
    <row r="50" spans="1:9" ht="12.95" customHeight="1">
      <c r="A50" s="19" t="s">
        <v>59</v>
      </c>
      <c r="B50" s="19"/>
      <c r="C50" s="19"/>
      <c r="D50" s="19"/>
      <c r="E50" s="102">
        <f>((0.9672-(125060/((E48/90)+32000))+96.72*(E48/90)^(-(0.25))))*E48/90</f>
        <v>58760</v>
      </c>
      <c r="F50" s="649"/>
      <c r="G50" s="649"/>
      <c r="H50" s="649"/>
      <c r="I50" s="649"/>
    </row>
    <row r="51" spans="1:9" ht="3.95" customHeight="1">
      <c r="A51" s="19"/>
      <c r="B51" s="19"/>
      <c r="E51" s="29"/>
      <c r="F51" s="649"/>
      <c r="G51" s="649"/>
      <c r="H51" s="649"/>
      <c r="I51" s="649"/>
    </row>
    <row r="52" spans="1:9" ht="13.5" customHeight="1">
      <c r="A52" s="24" t="s">
        <v>60</v>
      </c>
      <c r="B52" s="24"/>
      <c r="E52" s="100">
        <f>0.044*E44+0.66</f>
        <v>1.19</v>
      </c>
      <c r="F52" s="649"/>
      <c r="G52" s="649"/>
      <c r="H52" s="649"/>
      <c r="I52" s="649"/>
    </row>
    <row r="53" spans="1:9" ht="3.95" customHeight="1">
      <c r="A53" s="19"/>
      <c r="B53" s="19"/>
      <c r="E53" s="29"/>
      <c r="F53" s="649"/>
      <c r="G53" s="649"/>
      <c r="H53" s="649"/>
      <c r="I53" s="649"/>
    </row>
    <row r="54" spans="1:9" ht="13.5" customHeight="1">
      <c r="A54" s="24" t="s">
        <v>62</v>
      </c>
      <c r="B54" s="24"/>
      <c r="E54" s="491">
        <f>ROUND(E50/E48*100*E52/100,6)</f>
        <v>0.109944</v>
      </c>
      <c r="F54" s="207" t="s">
        <v>108</v>
      </c>
      <c r="G54" s="207"/>
      <c r="I54"/>
    </row>
    <row r="55" spans="1:9" ht="13.5" customHeight="1">
      <c r="A55" s="24" t="s">
        <v>136</v>
      </c>
      <c r="B55" s="24"/>
      <c r="E55" s="222">
        <v>0</v>
      </c>
      <c r="F55" s="207"/>
      <c r="I55"/>
    </row>
    <row r="56" spans="1:9" ht="3.95" customHeight="1">
      <c r="A56" s="19"/>
      <c r="B56" s="19"/>
      <c r="E56" s="167"/>
      <c r="F56" s="167"/>
      <c r="G56" s="167"/>
      <c r="I56"/>
    </row>
    <row r="57" spans="1:9" ht="15" customHeight="1">
      <c r="A57" s="22" t="s">
        <v>199</v>
      </c>
      <c r="B57" s="20"/>
      <c r="C57" s="168"/>
      <c r="D57" s="168"/>
      <c r="E57" s="169"/>
      <c r="F57" s="470">
        <f>ROUND(E48*E54*(1+E55),2)</f>
        <v>69924</v>
      </c>
      <c r="H57" s="207"/>
      <c r="I57" s="1"/>
    </row>
    <row r="58" spans="1:9" ht="9.75" customHeight="1">
      <c r="A58" s="24"/>
      <c r="B58" s="19"/>
      <c r="C58" s="156"/>
      <c r="D58" s="156"/>
      <c r="E58" s="170"/>
      <c r="F58" s="170"/>
      <c r="G58" s="170"/>
      <c r="I58" s="1"/>
    </row>
    <row r="59" spans="1:9" ht="12.95" customHeight="1">
      <c r="A59" s="24"/>
      <c r="B59" s="19"/>
      <c r="C59" s="156"/>
      <c r="D59" s="275" t="s">
        <v>147</v>
      </c>
      <c r="E59" s="270" t="s">
        <v>5</v>
      </c>
      <c r="F59" s="8"/>
      <c r="G59" s="560"/>
      <c r="H59" s="158"/>
      <c r="I59" s="30"/>
    </row>
    <row r="60" spans="1:9" ht="12.75" customHeight="1">
      <c r="A60" s="156" t="s">
        <v>98</v>
      </c>
      <c r="B60" s="156"/>
      <c r="D60" s="271">
        <v>0.02</v>
      </c>
      <c r="E60" s="222">
        <v>0.02</v>
      </c>
      <c r="F60" s="177">
        <f>$F$57*E60</f>
        <v>1398</v>
      </c>
      <c r="G60" s="295"/>
      <c r="H60" s="561"/>
      <c r="I60" s="177"/>
    </row>
    <row r="61" spans="1:9" ht="12.75" customHeight="1">
      <c r="A61" s="156" t="s">
        <v>35</v>
      </c>
      <c r="B61" s="156"/>
      <c r="D61" s="271">
        <v>0.1</v>
      </c>
      <c r="E61" s="223">
        <v>0.1</v>
      </c>
      <c r="F61" s="177">
        <f t="shared" ref="F61:F69" si="0">$F$57*E61</f>
        <v>6992</v>
      </c>
      <c r="G61" s="294"/>
      <c r="H61" s="562"/>
      <c r="I61" s="177"/>
    </row>
    <row r="62" spans="1:9" ht="12.75" customHeight="1">
      <c r="A62" s="156" t="s">
        <v>36</v>
      </c>
      <c r="B62" s="156"/>
      <c r="D62" s="271">
        <v>0.12</v>
      </c>
      <c r="E62" s="223">
        <v>0.12</v>
      </c>
      <c r="F62" s="177">
        <f t="shared" si="0"/>
        <v>8391</v>
      </c>
      <c r="G62" s="294"/>
      <c r="H62" s="562"/>
      <c r="I62" s="177"/>
    </row>
    <row r="63" spans="1:9" ht="12.75" customHeight="1">
      <c r="A63" s="156" t="s">
        <v>37</v>
      </c>
      <c r="B63" s="156"/>
      <c r="D63" s="271">
        <v>0.04</v>
      </c>
      <c r="E63" s="223">
        <v>0.04</v>
      </c>
      <c r="F63" s="177">
        <f t="shared" si="0"/>
        <v>2797</v>
      </c>
      <c r="G63" s="294"/>
      <c r="H63" s="562"/>
      <c r="I63" s="177"/>
    </row>
    <row r="64" spans="1:9" ht="12.75" customHeight="1">
      <c r="A64" s="156" t="s">
        <v>38</v>
      </c>
      <c r="B64" s="156"/>
      <c r="D64" s="271">
        <v>0.2</v>
      </c>
      <c r="E64" s="223">
        <v>0.2</v>
      </c>
      <c r="F64" s="177">
        <f t="shared" si="0"/>
        <v>13985</v>
      </c>
      <c r="G64" s="294"/>
      <c r="H64" s="562"/>
      <c r="I64" s="177"/>
    </row>
    <row r="65" spans="1:13" ht="12.75" customHeight="1">
      <c r="A65" s="156" t="s">
        <v>39</v>
      </c>
      <c r="B65" s="156"/>
      <c r="D65" s="271">
        <v>7.0000000000000007E-2</v>
      </c>
      <c r="E65" s="223">
        <v>7.0000000000000007E-2</v>
      </c>
      <c r="F65" s="177">
        <f t="shared" si="0"/>
        <v>4895</v>
      </c>
      <c r="G65" s="295"/>
      <c r="H65" s="561"/>
      <c r="I65" s="177"/>
    </row>
    <row r="66" spans="1:13" ht="12.75" customHeight="1">
      <c r="A66" s="156" t="s">
        <v>40</v>
      </c>
      <c r="B66" s="156"/>
      <c r="D66" s="271">
        <v>0.03</v>
      </c>
      <c r="E66" s="223">
        <v>0.03</v>
      </c>
      <c r="F66" s="177">
        <f t="shared" si="0"/>
        <v>2098</v>
      </c>
      <c r="G66" s="294"/>
      <c r="H66" s="562"/>
      <c r="I66" s="177"/>
    </row>
    <row r="67" spans="1:13" ht="12.75" customHeight="1">
      <c r="A67" s="156" t="s">
        <v>54</v>
      </c>
      <c r="B67" s="156"/>
      <c r="D67" s="271">
        <v>7.0000000000000007E-2</v>
      </c>
      <c r="E67" s="223">
        <v>7.0000000000000007E-2</v>
      </c>
      <c r="F67" s="177">
        <f t="shared" si="0"/>
        <v>4895</v>
      </c>
      <c r="G67" s="294"/>
      <c r="H67" s="562"/>
      <c r="I67" s="177"/>
    </row>
    <row r="68" spans="1:13" ht="12.75" customHeight="1">
      <c r="A68" s="156" t="s">
        <v>42</v>
      </c>
      <c r="B68" s="156"/>
      <c r="D68" s="271">
        <v>0.33</v>
      </c>
      <c r="E68" s="223">
        <v>0.33</v>
      </c>
      <c r="F68" s="177">
        <f t="shared" si="0"/>
        <v>23075</v>
      </c>
      <c r="G68" s="294"/>
      <c r="H68" s="562"/>
      <c r="I68" s="177"/>
    </row>
    <row r="69" spans="1:13" ht="12.75" customHeight="1">
      <c r="A69" s="168" t="s">
        <v>55</v>
      </c>
      <c r="B69" s="168"/>
      <c r="C69" s="35"/>
      <c r="D69" s="272">
        <v>0.02</v>
      </c>
      <c r="E69" s="224">
        <v>0.02</v>
      </c>
      <c r="F69" s="178">
        <f t="shared" si="0"/>
        <v>1398</v>
      </c>
      <c r="G69" s="293"/>
      <c r="H69" s="563"/>
      <c r="I69" s="178"/>
    </row>
    <row r="70" spans="1:13" s="16" customFormat="1" ht="18.600000000000001" customHeight="1">
      <c r="A70" s="492" t="s">
        <v>44</v>
      </c>
      <c r="B70" s="492"/>
      <c r="C70" s="492"/>
      <c r="D70" s="621">
        <f>SUM(D60:D69)</f>
        <v>1</v>
      </c>
      <c r="E70" s="283">
        <f>SUM(E60:E69)</f>
        <v>1</v>
      </c>
      <c r="F70" s="288">
        <f>SUM(F60:F69)</f>
        <v>69924</v>
      </c>
      <c r="H70" s="283"/>
      <c r="I70" s="288"/>
    </row>
    <row r="71" spans="1:13" ht="12.75" customHeight="1">
      <c r="A71" s="19" t="s">
        <v>187</v>
      </c>
      <c r="B71" s="171"/>
      <c r="D71" s="295">
        <v>1.4999999999999999E-2</v>
      </c>
      <c r="E71" s="222">
        <v>0</v>
      </c>
      <c r="F71" s="177">
        <f>$F$57*E71</f>
        <v>0</v>
      </c>
      <c r="G71" s="172"/>
      <c r="H71" s="177"/>
      <c r="I71" s="91"/>
      <c r="J71" s="1"/>
    </row>
    <row r="72" spans="1:13" ht="12.75" customHeight="1">
      <c r="A72" s="20" t="s">
        <v>188</v>
      </c>
      <c r="B72" s="174"/>
      <c r="C72" s="35"/>
      <c r="D72" s="493">
        <v>2.5000000000000001E-2</v>
      </c>
      <c r="E72" s="494">
        <v>0</v>
      </c>
      <c r="F72" s="178">
        <f>$F$57*E72</f>
        <v>0</v>
      </c>
      <c r="G72" s="600"/>
      <c r="H72" s="178"/>
      <c r="I72" s="603"/>
      <c r="J72" s="1"/>
    </row>
    <row r="73" spans="1:13" ht="12.75" customHeight="1">
      <c r="A73" s="644" t="s">
        <v>251</v>
      </c>
      <c r="B73" s="644"/>
      <c r="C73" s="644"/>
      <c r="D73" s="623">
        <f>SUM(D70:D72)</f>
        <v>1.04</v>
      </c>
      <c r="E73" s="172">
        <f>E71+E72+E70</f>
        <v>1</v>
      </c>
      <c r="F73" s="288">
        <f>F70+SUM(F71:F72)</f>
        <v>69924</v>
      </c>
      <c r="H73" s="172"/>
      <c r="I73" s="99">
        <f>F73</f>
        <v>69924</v>
      </c>
      <c r="J73" s="1"/>
      <c r="K73" s="9"/>
    </row>
    <row r="74" spans="1:13" ht="12.75" customHeight="1">
      <c r="A74" s="624"/>
      <c r="B74" s="624"/>
      <c r="C74" s="624"/>
      <c r="D74" s="172"/>
      <c r="E74" s="172"/>
      <c r="F74" s="179"/>
      <c r="G74" s="8"/>
      <c r="I74" s="356"/>
      <c r="J74" s="1"/>
    </row>
    <row r="75" spans="1:13" ht="15">
      <c r="A75" s="33" t="s">
        <v>123</v>
      </c>
      <c r="E75" s="228">
        <v>0</v>
      </c>
      <c r="F75" s="229">
        <v>0</v>
      </c>
      <c r="G75" s="571"/>
      <c r="I75" s="92">
        <f>E75*F75</f>
        <v>0</v>
      </c>
      <c r="K75"/>
      <c r="L75"/>
      <c r="M75"/>
    </row>
    <row r="76" spans="1:13" ht="3.95" customHeight="1">
      <c r="I76"/>
    </row>
    <row r="77" spans="1:13" s="24" customFormat="1" ht="12.75">
      <c r="A77" s="94" t="s">
        <v>200</v>
      </c>
      <c r="B77" s="95"/>
      <c r="C77" s="96"/>
      <c r="D77" s="98"/>
      <c r="E77" s="97"/>
      <c r="F77" s="97"/>
      <c r="G77" s="97"/>
      <c r="H77" s="97"/>
      <c r="I77" s="99">
        <f>I73+I75</f>
        <v>69924</v>
      </c>
    </row>
    <row r="78" spans="1:13" s="24" customFormat="1" ht="4.5" customHeight="1">
      <c r="B78" s="25"/>
      <c r="C78" s="26"/>
      <c r="D78" s="47"/>
      <c r="E78" s="48"/>
      <c r="F78" s="48"/>
      <c r="G78" s="48"/>
      <c r="I78" s="91"/>
    </row>
    <row r="79" spans="1:13" s="24" customFormat="1" ht="12.75">
      <c r="A79" s="49" t="s">
        <v>13</v>
      </c>
      <c r="B79" s="25"/>
      <c r="C79" s="26"/>
      <c r="D79" s="47"/>
      <c r="E79" s="218">
        <v>0.04</v>
      </c>
      <c r="F79" s="48"/>
      <c r="G79" s="48"/>
      <c r="I79" s="92">
        <f>ROUND(I77*E79,2)</f>
        <v>2797</v>
      </c>
    </row>
    <row r="80" spans="1:13" s="24" customFormat="1" ht="3" customHeight="1">
      <c r="A80" s="50"/>
      <c r="B80" s="51"/>
      <c r="C80" s="52"/>
      <c r="D80" s="56"/>
      <c r="E80" s="219"/>
      <c r="F80" s="57"/>
      <c r="G80" s="57"/>
      <c r="H80" s="50"/>
      <c r="I80" s="93"/>
    </row>
    <row r="81" spans="1:9" s="24" customFormat="1" ht="3" customHeight="1">
      <c r="B81" s="25"/>
      <c r="C81" s="26"/>
      <c r="D81" s="27"/>
      <c r="E81" s="217"/>
      <c r="F81" s="48"/>
      <c r="G81" s="48"/>
      <c r="I81" s="91"/>
    </row>
    <row r="82" spans="1:9" s="24" customFormat="1" ht="12.75">
      <c r="A82" s="53" t="s">
        <v>201</v>
      </c>
      <c r="B82" s="54"/>
      <c r="C82" s="55"/>
      <c r="D82" s="27"/>
      <c r="E82" s="217"/>
      <c r="F82" s="48"/>
      <c r="G82" s="48"/>
      <c r="I82" s="92">
        <f>I77+I79</f>
        <v>72721</v>
      </c>
    </row>
    <row r="83" spans="1:9" s="24" customFormat="1" ht="12.75">
      <c r="A83" s="24" t="s">
        <v>14</v>
      </c>
      <c r="B83" s="25"/>
      <c r="C83" s="26"/>
      <c r="D83" s="27"/>
      <c r="E83" s="28">
        <v>0.2</v>
      </c>
      <c r="F83" s="28"/>
      <c r="G83" s="28"/>
      <c r="I83" s="92">
        <f>ROUND(I82*E83,2)</f>
        <v>14544</v>
      </c>
    </row>
    <row r="84" spans="1:9" s="24" customFormat="1" ht="3" customHeight="1">
      <c r="B84" s="25"/>
      <c r="C84" s="26"/>
      <c r="D84" s="27"/>
      <c r="E84" s="48"/>
      <c r="F84" s="48"/>
      <c r="G84" s="48"/>
      <c r="I84" s="91"/>
    </row>
    <row r="85" spans="1:9" s="24" customFormat="1" ht="12.75">
      <c r="A85" s="184" t="s">
        <v>202</v>
      </c>
      <c r="B85" s="196"/>
      <c r="C85" s="185"/>
      <c r="D85" s="187"/>
      <c r="E85" s="188"/>
      <c r="F85" s="188"/>
      <c r="G85" s="188"/>
      <c r="H85" s="186"/>
      <c r="I85" s="189">
        <f>SUM(I82:I83)</f>
        <v>87265</v>
      </c>
    </row>
    <row r="86" spans="1:9" ht="5.0999999999999996" customHeight="1"/>
    <row r="87" spans="1:9" ht="12.75">
      <c r="A87" s="198" t="s">
        <v>106</v>
      </c>
      <c r="E87" s="255">
        <f>I82/E25</f>
        <v>2.5560000000000001E-3</v>
      </c>
    </row>
  </sheetData>
  <sheetProtection algorithmName="SHA-512" hashValue="Dl53wFpdwhWyzlpLbo9fvWFyi2hWyFaCEB3nFLS+3fpYgAnCYKGYRqu9jhELCAEgpPPziWe6ET+GammgReDokQ==" saltValue="a2YhycGJXTv7VOKwdHDmjA==" spinCount="100000" sheet="1" objects="1" scenarios="1"/>
  <mergeCells count="13">
    <mergeCell ref="A73:C73"/>
    <mergeCell ref="F49:I53"/>
    <mergeCell ref="H2:I2"/>
    <mergeCell ref="A7:B7"/>
    <mergeCell ref="A9:B9"/>
    <mergeCell ref="A11:B11"/>
    <mergeCell ref="A13:B13"/>
    <mergeCell ref="A15:B15"/>
    <mergeCell ref="A17:B17"/>
    <mergeCell ref="A19:B19"/>
    <mergeCell ref="A21:B21"/>
    <mergeCell ref="A23:B23"/>
    <mergeCell ref="H34:I3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&amp;L&amp;"Arial,Fett"&amp;K01+037Angebot Freianlagen (Planung + Örtliche Bauaufsicht)
&amp;"Arial,Standard"nach VM.FA.2023&amp;R&amp;"Arial,Standard"&amp;K01+038Version 1
Stand: 15.09.2023</oddHeader>
    <oddFooter>&amp;L&amp;"Arial,Fett"&amp;K01+038LM.VM.2023&amp;"Arial,Standard"  | Freianlagen  |  Angebotsformular&amp;R&amp;"Arial,Standard"&amp;K01+038&amp;P/&amp;N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Scroll Bar 1">
              <controlPr defaultSize="0" autoPict="0">
                <anchor moveWithCells="1">
                  <from>
                    <xdr:col>7</xdr:col>
                    <xdr:colOff>9525</xdr:colOff>
                    <xdr:row>34</xdr:row>
                    <xdr:rowOff>38100</xdr:rowOff>
                  </from>
                  <to>
                    <xdr:col>8</xdr:col>
                    <xdr:colOff>1009650</xdr:colOff>
                    <xdr:row>34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Scroll Bar 2">
              <controlPr defaultSize="0" autoPict="0">
                <anchor moveWithCells="1">
                  <from>
                    <xdr:col>7</xdr:col>
                    <xdr:colOff>19050</xdr:colOff>
                    <xdr:row>35</xdr:row>
                    <xdr:rowOff>28575</xdr:rowOff>
                  </from>
                  <to>
                    <xdr:col>8</xdr:col>
                    <xdr:colOff>1028700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Scroll Bar 3">
              <controlPr defaultSize="0" autoPict="0">
                <anchor moveWithCells="1">
                  <from>
                    <xdr:col>7</xdr:col>
                    <xdr:colOff>28575</xdr:colOff>
                    <xdr:row>36</xdr:row>
                    <xdr:rowOff>28575</xdr:rowOff>
                  </from>
                  <to>
                    <xdr:col>8</xdr:col>
                    <xdr:colOff>1028700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Scroll Bar 4">
              <controlPr defaultSize="0" autoPict="0">
                <anchor moveWithCells="1">
                  <from>
                    <xdr:col>7</xdr:col>
                    <xdr:colOff>19050</xdr:colOff>
                    <xdr:row>37</xdr:row>
                    <xdr:rowOff>28575</xdr:rowOff>
                  </from>
                  <to>
                    <xdr:col>8</xdr:col>
                    <xdr:colOff>1028700</xdr:colOff>
                    <xdr:row>37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Scroll Bar 5">
              <controlPr defaultSize="0" autoPict="0">
                <anchor moveWithCells="1">
                  <from>
                    <xdr:col>7</xdr:col>
                    <xdr:colOff>19050</xdr:colOff>
                    <xdr:row>39</xdr:row>
                    <xdr:rowOff>28575</xdr:rowOff>
                  </from>
                  <to>
                    <xdr:col>8</xdr:col>
                    <xdr:colOff>1028700</xdr:colOff>
                    <xdr:row>39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Scroll Bar 6">
              <controlPr defaultSize="0" autoPict="0">
                <anchor moveWithCells="1">
                  <from>
                    <xdr:col>7</xdr:col>
                    <xdr:colOff>19050</xdr:colOff>
                    <xdr:row>40</xdr:row>
                    <xdr:rowOff>28575</xdr:rowOff>
                  </from>
                  <to>
                    <xdr:col>8</xdr:col>
                    <xdr:colOff>1019175</xdr:colOff>
                    <xdr:row>40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Scroll Bar 7">
              <controlPr defaultSize="0" autoPict="0">
                <anchor moveWithCells="1">
                  <from>
                    <xdr:col>7</xdr:col>
                    <xdr:colOff>19050</xdr:colOff>
                    <xdr:row>41</xdr:row>
                    <xdr:rowOff>28575</xdr:rowOff>
                  </from>
                  <to>
                    <xdr:col>8</xdr:col>
                    <xdr:colOff>1028700</xdr:colOff>
                    <xdr:row>41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4FA24-F6E4-4B69-9D76-1A86B431184B}">
  <sheetPr>
    <tabColor theme="6"/>
  </sheetPr>
  <dimension ref="A1:M93"/>
  <sheetViews>
    <sheetView showGridLines="0" topLeftCell="A51" zoomScaleNormal="100" zoomScaleSheetLayoutView="85" zoomScalePageLayoutView="70" workbookViewId="0">
      <selection activeCell="A77" sqref="A77:A78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9.7109375" style="1" customWidth="1"/>
    <col min="4" max="4" width="8.140625" style="1" customWidth="1"/>
    <col min="5" max="5" width="14.7109375" style="1" customWidth="1"/>
    <col min="6" max="6" width="15.7109375" style="1" customWidth="1"/>
    <col min="7" max="7" width="8.140625" style="1" customWidth="1"/>
    <col min="8" max="8" width="14.7109375" style="8" customWidth="1" collapsed="1"/>
    <col min="9" max="9" width="15.7109375" style="9" customWidth="1"/>
    <col min="10" max="10" width="2.7109375" style="9" customWidth="1"/>
    <col min="11" max="16" width="2.7109375" style="1" customWidth="1"/>
    <col min="17" max="16384" width="11.5703125" style="1"/>
  </cols>
  <sheetData>
    <row r="1" spans="1:10" ht="5.0999999999999996" customHeight="1"/>
    <row r="2" spans="1:10" s="37" customFormat="1" ht="35.1" customHeight="1">
      <c r="A2" s="107" t="s">
        <v>107</v>
      </c>
      <c r="E2" s="38"/>
      <c r="F2" s="38"/>
      <c r="G2" s="38"/>
      <c r="H2" s="648" t="s">
        <v>203</v>
      </c>
      <c r="I2" s="648"/>
      <c r="J2" s="43"/>
    </row>
    <row r="3" spans="1:10" s="10" customFormat="1" ht="6" customHeight="1">
      <c r="A3" s="73"/>
      <c r="B3" s="73"/>
      <c r="C3" s="73"/>
      <c r="D3" s="73"/>
      <c r="E3" s="73"/>
      <c r="F3" s="73"/>
      <c r="G3" s="73"/>
      <c r="H3" s="73"/>
      <c r="I3" s="74"/>
      <c r="J3" s="2"/>
    </row>
    <row r="4" spans="1:10" s="10" customFormat="1" ht="6" customHeight="1">
      <c r="I4" s="2"/>
      <c r="J4" s="2"/>
    </row>
    <row r="5" spans="1:10" s="10" customFormat="1" ht="12.95" customHeight="1">
      <c r="D5" s="69" t="s">
        <v>77</v>
      </c>
      <c r="E5" s="31" t="s">
        <v>50</v>
      </c>
      <c r="F5" s="31"/>
      <c r="G5" s="31"/>
      <c r="H5" s="12" t="s">
        <v>16</v>
      </c>
      <c r="I5" s="89" t="s">
        <v>51</v>
      </c>
      <c r="J5" s="31"/>
    </row>
    <row r="6" spans="1:10" s="10" customFormat="1" ht="6" customHeight="1">
      <c r="E6" s="67"/>
      <c r="I6" s="2"/>
      <c r="J6" s="2"/>
    </row>
    <row r="7" spans="1:10" s="11" customFormat="1" ht="12.95" customHeight="1">
      <c r="A7" s="645">
        <v>1</v>
      </c>
      <c r="B7" s="645"/>
      <c r="C7" s="76" t="s">
        <v>0</v>
      </c>
      <c r="D7" s="135">
        <f>E7/$E$33</f>
        <v>1E-3</v>
      </c>
      <c r="E7" s="479">
        <f>_1</f>
        <v>15000</v>
      </c>
      <c r="F7" s="245"/>
      <c r="G7" s="245"/>
      <c r="H7" s="333">
        <v>0</v>
      </c>
      <c r="I7" s="505">
        <f>E7*H7</f>
        <v>0</v>
      </c>
      <c r="J7" s="34"/>
    </row>
    <row r="8" spans="1:10" ht="4.3499999999999996" customHeight="1">
      <c r="B8" s="4"/>
      <c r="D8" s="136"/>
      <c r="E8" s="44"/>
      <c r="F8" s="227"/>
      <c r="G8" s="227"/>
      <c r="H8" s="335"/>
      <c r="I8" s="237"/>
      <c r="J8" s="44"/>
    </row>
    <row r="9" spans="1:10" s="11" customFormat="1" ht="12.95" customHeight="1">
      <c r="A9" s="645">
        <v>2</v>
      </c>
      <c r="B9" s="645"/>
      <c r="C9" s="76" t="s">
        <v>1</v>
      </c>
      <c r="D9" s="135">
        <f>E9/$E$33</f>
        <v>0.316</v>
      </c>
      <c r="E9" s="479">
        <f>_2</f>
        <v>9000000</v>
      </c>
      <c r="F9" s="245"/>
      <c r="G9" s="245"/>
      <c r="H9" s="351">
        <v>1</v>
      </c>
      <c r="I9" s="505">
        <f>E9*H9</f>
        <v>9000000</v>
      </c>
      <c r="J9" s="34"/>
    </row>
    <row r="10" spans="1:10" ht="4.3499999999999996" customHeight="1">
      <c r="D10" s="136"/>
      <c r="E10" s="34"/>
      <c r="F10" s="227"/>
      <c r="G10" s="227"/>
      <c r="H10" s="335"/>
      <c r="I10" s="317"/>
      <c r="J10" s="34"/>
    </row>
    <row r="11" spans="1:10" s="10" customFormat="1" ht="12.95" customHeight="1">
      <c r="A11" s="645">
        <v>3</v>
      </c>
      <c r="B11" s="645"/>
      <c r="C11" s="76" t="s">
        <v>7</v>
      </c>
      <c r="D11" s="135">
        <f>E11/$E$33</f>
        <v>0.19900000000000001</v>
      </c>
      <c r="E11" s="502">
        <f>_3</f>
        <v>5650000</v>
      </c>
      <c r="F11" s="245"/>
      <c r="G11" s="245"/>
      <c r="H11" s="335"/>
      <c r="I11" s="317"/>
      <c r="J11" s="34"/>
    </row>
    <row r="12" spans="1:10" ht="12.95" customHeight="1">
      <c r="A12" s="506">
        <v>3</v>
      </c>
      <c r="B12" s="341" t="s">
        <v>17</v>
      </c>
      <c r="C12" s="342" t="s">
        <v>18</v>
      </c>
      <c r="D12" s="137"/>
      <c r="E12" s="516">
        <f>_3.01</f>
        <v>900000</v>
      </c>
      <c r="F12" s="245"/>
      <c r="G12" s="245"/>
      <c r="H12" s="337">
        <v>0.05</v>
      </c>
      <c r="I12" s="329">
        <f t="shared" ref="I12:I19" si="0">E12*H12</f>
        <v>45000</v>
      </c>
      <c r="J12" s="34"/>
    </row>
    <row r="13" spans="1:10" ht="12.95" customHeight="1">
      <c r="A13" s="507">
        <v>3</v>
      </c>
      <c r="B13" s="344" t="s">
        <v>19</v>
      </c>
      <c r="C13" s="345" t="s">
        <v>26</v>
      </c>
      <c r="D13" s="138"/>
      <c r="E13" s="504">
        <f>_3.02</f>
        <v>1200000</v>
      </c>
      <c r="F13" s="245"/>
      <c r="G13" s="245"/>
      <c r="H13" s="337">
        <v>0.05</v>
      </c>
      <c r="I13" s="311">
        <f t="shared" si="0"/>
        <v>60000</v>
      </c>
      <c r="J13" s="34"/>
    </row>
    <row r="14" spans="1:10" ht="12.95" customHeight="1">
      <c r="A14" s="507">
        <v>3</v>
      </c>
      <c r="B14" s="344" t="s">
        <v>20</v>
      </c>
      <c r="C14" s="345" t="s">
        <v>27</v>
      </c>
      <c r="D14" s="138"/>
      <c r="E14" s="517">
        <f>_3.03</f>
        <v>1000000</v>
      </c>
      <c r="F14" s="245"/>
      <c r="G14" s="245"/>
      <c r="H14" s="337">
        <v>0.08</v>
      </c>
      <c r="I14" s="311">
        <f t="shared" si="0"/>
        <v>80000</v>
      </c>
      <c r="J14" s="34"/>
    </row>
    <row r="15" spans="1:10" ht="12.95" customHeight="1">
      <c r="A15" s="507">
        <v>3</v>
      </c>
      <c r="B15" s="344" t="s">
        <v>21</v>
      </c>
      <c r="C15" s="345" t="s">
        <v>28</v>
      </c>
      <c r="D15" s="138"/>
      <c r="E15" s="517">
        <f>_3.04</f>
        <v>1500000</v>
      </c>
      <c r="F15" s="245"/>
      <c r="G15" s="245"/>
      <c r="H15" s="337">
        <v>0.05</v>
      </c>
      <c r="I15" s="311">
        <f t="shared" si="0"/>
        <v>75000</v>
      </c>
      <c r="J15" s="34"/>
    </row>
    <row r="16" spans="1:10" ht="12.95" customHeight="1">
      <c r="A16" s="507">
        <v>3</v>
      </c>
      <c r="B16" s="344" t="s">
        <v>22</v>
      </c>
      <c r="C16" s="345" t="s">
        <v>31</v>
      </c>
      <c r="D16" s="138"/>
      <c r="E16" s="517">
        <f>_3.05</f>
        <v>600000</v>
      </c>
      <c r="F16" s="245"/>
      <c r="G16" s="245"/>
      <c r="H16" s="337">
        <v>0</v>
      </c>
      <c r="I16" s="311">
        <f t="shared" si="0"/>
        <v>0</v>
      </c>
      <c r="J16" s="34"/>
    </row>
    <row r="17" spans="1:10" ht="12.95" customHeight="1">
      <c r="A17" s="507">
        <v>3</v>
      </c>
      <c r="B17" s="344" t="s">
        <v>23</v>
      </c>
      <c r="C17" s="345" t="s">
        <v>29</v>
      </c>
      <c r="D17" s="138"/>
      <c r="E17" s="517">
        <f>_3.06</f>
        <v>150000</v>
      </c>
      <c r="F17" s="245"/>
      <c r="G17" s="245"/>
      <c r="H17" s="337">
        <v>0.15</v>
      </c>
      <c r="I17" s="311">
        <f t="shared" si="0"/>
        <v>22500</v>
      </c>
      <c r="J17" s="34"/>
    </row>
    <row r="18" spans="1:10" ht="12.95" customHeight="1">
      <c r="A18" s="507">
        <v>3</v>
      </c>
      <c r="B18" s="344" t="s">
        <v>24</v>
      </c>
      <c r="C18" s="345" t="s">
        <v>30</v>
      </c>
      <c r="D18" s="138"/>
      <c r="E18" s="517">
        <f>_3.07</f>
        <v>0</v>
      </c>
      <c r="F18" s="245"/>
      <c r="G18" s="245"/>
      <c r="H18" s="337">
        <v>0</v>
      </c>
      <c r="I18" s="311">
        <f t="shared" si="0"/>
        <v>0</v>
      </c>
      <c r="J18" s="34"/>
    </row>
    <row r="19" spans="1:10" ht="12.95" customHeight="1">
      <c r="A19" s="507">
        <v>3</v>
      </c>
      <c r="B19" s="344" t="s">
        <v>25</v>
      </c>
      <c r="C19" s="345" t="s">
        <v>8</v>
      </c>
      <c r="D19" s="138"/>
      <c r="E19" s="517">
        <f>_3.08</f>
        <v>300000</v>
      </c>
      <c r="F19" s="245"/>
      <c r="G19" s="245"/>
      <c r="H19" s="337">
        <v>0</v>
      </c>
      <c r="I19" s="330">
        <f t="shared" si="0"/>
        <v>0</v>
      </c>
      <c r="J19" s="34"/>
    </row>
    <row r="20" spans="1:10" ht="4.3499999999999996" customHeight="1">
      <c r="D20" s="136"/>
      <c r="E20" s="34"/>
      <c r="F20" s="227"/>
      <c r="G20" s="227"/>
      <c r="H20" s="347"/>
      <c r="I20" s="317"/>
      <c r="J20" s="151"/>
    </row>
    <row r="21" spans="1:10" s="10" customFormat="1" ht="12.95" customHeight="1">
      <c r="A21" s="645">
        <v>4</v>
      </c>
      <c r="B21" s="645"/>
      <c r="C21" s="76" t="s">
        <v>2</v>
      </c>
      <c r="D21" s="135">
        <f>E21/$E$33</f>
        <v>0.21099999999999999</v>
      </c>
      <c r="E21" s="479">
        <f>_4</f>
        <v>6000000</v>
      </c>
      <c r="F21" s="245"/>
      <c r="G21" s="245"/>
      <c r="H21" s="337">
        <v>0.05</v>
      </c>
      <c r="I21" s="324">
        <f>E21*H21</f>
        <v>300000</v>
      </c>
      <c r="J21" s="34"/>
    </row>
    <row r="22" spans="1:10" ht="3.95" customHeight="1">
      <c r="B22" s="4"/>
      <c r="D22" s="136"/>
      <c r="E22" s="34"/>
      <c r="F22" s="227"/>
      <c r="G22" s="227"/>
      <c r="H22" s="335"/>
      <c r="I22" s="317"/>
      <c r="J22" s="33"/>
    </row>
    <row r="23" spans="1:10" s="11" customFormat="1" ht="12.95" customHeight="1">
      <c r="A23" s="645">
        <v>5</v>
      </c>
      <c r="B23" s="645"/>
      <c r="C23" s="76" t="s">
        <v>9</v>
      </c>
      <c r="D23" s="135">
        <f>E23/$E$33</f>
        <v>5.8000000000000003E-2</v>
      </c>
      <c r="E23" s="503">
        <f>_5</f>
        <v>1650000</v>
      </c>
      <c r="F23" s="245"/>
      <c r="G23" s="245"/>
      <c r="H23" s="337">
        <v>0</v>
      </c>
      <c r="I23" s="324">
        <f>E23*H23</f>
        <v>0</v>
      </c>
      <c r="J23" s="34"/>
    </row>
    <row r="24" spans="1:10" ht="3.95" customHeight="1">
      <c r="D24" s="136"/>
      <c r="E24" s="34"/>
      <c r="F24" s="227"/>
      <c r="G24" s="227"/>
      <c r="H24" s="335"/>
      <c r="I24" s="317"/>
      <c r="J24" s="34"/>
    </row>
    <row r="25" spans="1:10" s="10" customFormat="1" ht="12.95" customHeight="1">
      <c r="A25" s="645">
        <v>6</v>
      </c>
      <c r="B25" s="645"/>
      <c r="C25" s="76" t="s">
        <v>3</v>
      </c>
      <c r="D25" s="135">
        <f>E25/$E$33</f>
        <v>1.7999999999999999E-2</v>
      </c>
      <c r="E25" s="479">
        <f>_6</f>
        <v>500000</v>
      </c>
      <c r="F25" s="245"/>
      <c r="G25" s="245"/>
      <c r="H25" s="337">
        <v>0</v>
      </c>
      <c r="I25" s="508">
        <f>E25*H25</f>
        <v>0</v>
      </c>
      <c r="J25" s="34"/>
    </row>
    <row r="26" spans="1:10" ht="3.95" customHeight="1">
      <c r="B26" s="13"/>
      <c r="D26" s="139"/>
      <c r="E26" s="34"/>
      <c r="F26" s="227"/>
      <c r="G26" s="227"/>
      <c r="H26" s="335"/>
      <c r="I26" s="317"/>
      <c r="J26" s="34"/>
    </row>
    <row r="27" spans="1:10" s="11" customFormat="1" ht="12.95" customHeight="1">
      <c r="A27" s="645">
        <v>7</v>
      </c>
      <c r="B27" s="645"/>
      <c r="C27" s="76" t="s">
        <v>113</v>
      </c>
      <c r="D27" s="135">
        <f>E27/$E$33</f>
        <v>0.14099999999999999</v>
      </c>
      <c r="E27" s="479">
        <f>_7</f>
        <v>4000000</v>
      </c>
      <c r="F27" s="245"/>
      <c r="G27" s="245"/>
      <c r="H27" s="337">
        <v>0</v>
      </c>
      <c r="I27" s="505">
        <f>E27*H27</f>
        <v>0</v>
      </c>
      <c r="J27" s="34"/>
    </row>
    <row r="28" spans="1:10" ht="3.95" customHeight="1">
      <c r="D28" s="139"/>
      <c r="E28" s="34"/>
      <c r="F28" s="227"/>
      <c r="G28" s="227"/>
      <c r="H28" s="335"/>
      <c r="I28" s="317"/>
      <c r="J28" s="34"/>
    </row>
    <row r="29" spans="1:10" s="11" customFormat="1" ht="12.95" customHeight="1">
      <c r="A29" s="645">
        <v>8</v>
      </c>
      <c r="B29" s="645"/>
      <c r="C29" s="76" t="s">
        <v>129</v>
      </c>
      <c r="D29" s="135">
        <f>E29/$E$33</f>
        <v>1E-3</v>
      </c>
      <c r="E29" s="479">
        <f>_8</f>
        <v>36000</v>
      </c>
      <c r="F29" s="245"/>
      <c r="G29" s="245"/>
      <c r="H29" s="351">
        <v>0</v>
      </c>
      <c r="I29" s="505">
        <f>E29*H29</f>
        <v>0</v>
      </c>
      <c r="J29" s="34"/>
    </row>
    <row r="30" spans="1:10" ht="3.95" customHeight="1">
      <c r="D30" s="139"/>
      <c r="E30" s="34"/>
      <c r="F30" s="227"/>
      <c r="G30" s="227"/>
      <c r="H30" s="347"/>
      <c r="I30" s="317"/>
      <c r="J30" s="151"/>
    </row>
    <row r="31" spans="1:10" s="11" customFormat="1" ht="12.95" customHeight="1">
      <c r="A31" s="645">
        <v>9</v>
      </c>
      <c r="B31" s="645"/>
      <c r="C31" s="76" t="s">
        <v>10</v>
      </c>
      <c r="D31" s="135">
        <f>E31/$E$33</f>
        <v>5.6000000000000001E-2</v>
      </c>
      <c r="E31" s="479">
        <f>_9</f>
        <v>1600000</v>
      </c>
      <c r="F31" s="245"/>
      <c r="G31" s="245"/>
      <c r="H31" s="337">
        <v>0.1</v>
      </c>
      <c r="I31" s="324">
        <f>E31*H31</f>
        <v>160000</v>
      </c>
      <c r="J31" s="34"/>
    </row>
    <row r="32" spans="1:10" ht="9.9499999999999993" customHeight="1">
      <c r="B32" s="13"/>
      <c r="D32" s="32"/>
      <c r="E32" s="23"/>
      <c r="F32" s="110"/>
      <c r="G32" s="110"/>
      <c r="H32" s="110"/>
      <c r="I32" s="110"/>
      <c r="J32" s="1"/>
    </row>
    <row r="33" spans="1:10" ht="12.95" customHeight="1">
      <c r="A33" s="113" t="s">
        <v>12</v>
      </c>
      <c r="B33" s="114"/>
      <c r="C33" s="114"/>
      <c r="D33" s="71">
        <f>SUM(D7:D31)</f>
        <v>1</v>
      </c>
      <c r="E33" s="486">
        <f>_EK</f>
        <v>28451000</v>
      </c>
      <c r="F33" s="509"/>
      <c r="G33" s="509"/>
      <c r="H33" s="239"/>
      <c r="I33" s="307">
        <f>SUM(I7:I31)</f>
        <v>9742500</v>
      </c>
      <c r="J33" s="23"/>
    </row>
    <row r="34" spans="1:10" ht="3.95" customHeight="1">
      <c r="B34" s="248"/>
      <c r="D34" s="32"/>
      <c r="E34" s="23"/>
      <c r="F34" s="110"/>
      <c r="G34" s="110"/>
      <c r="H34" s="214"/>
      <c r="I34" s="252"/>
      <c r="J34" s="1"/>
    </row>
    <row r="35" spans="1:10" s="10" customFormat="1" ht="12.95" customHeight="1">
      <c r="A35" s="306"/>
      <c r="B35" s="75" t="s">
        <v>159</v>
      </c>
      <c r="C35" s="76"/>
      <c r="D35" s="135"/>
      <c r="E35" s="479">
        <f>_mvB</f>
        <v>120000</v>
      </c>
      <c r="F35" s="72"/>
      <c r="G35" s="72"/>
      <c r="H35" s="327">
        <v>1</v>
      </c>
      <c r="I35" s="505">
        <f>E35*H35</f>
        <v>120000</v>
      </c>
    </row>
    <row r="36" spans="1:10" ht="9.9499999999999993" customHeight="1">
      <c r="D36" s="32"/>
    </row>
    <row r="37" spans="1:10" s="112" customFormat="1" ht="12.95" customHeight="1">
      <c r="A37" s="191" t="s">
        <v>32</v>
      </c>
      <c r="B37" s="192"/>
      <c r="C37" s="192"/>
      <c r="D37" s="192"/>
      <c r="E37" s="192"/>
      <c r="F37" s="192"/>
      <c r="G37" s="192"/>
      <c r="H37" s="193"/>
      <c r="I37" s="353">
        <f>I33+I35</f>
        <v>9862500</v>
      </c>
      <c r="J37" s="559"/>
    </row>
    <row r="38" spans="1:10" ht="15" customHeight="1">
      <c r="A38" s="156"/>
      <c r="B38" s="156"/>
      <c r="C38" s="156"/>
      <c r="D38" s="156"/>
      <c r="E38" s="156"/>
      <c r="F38" s="156"/>
      <c r="G38" s="156"/>
      <c r="I38" s="177"/>
    </row>
    <row r="39" spans="1:10" ht="12.75" customHeight="1">
      <c r="A39" s="154" t="s">
        <v>154</v>
      </c>
      <c r="B39" s="154"/>
      <c r="C39" s="155"/>
      <c r="D39" s="155"/>
      <c r="E39" s="155"/>
      <c r="F39" s="155"/>
      <c r="G39" s="155"/>
      <c r="H39" s="154"/>
      <c r="I39" s="250"/>
      <c r="J39" s="157"/>
    </row>
    <row r="40" spans="1:10" ht="6.75" customHeight="1">
      <c r="A40" s="156"/>
      <c r="B40" s="156"/>
      <c r="C40" s="156"/>
      <c r="D40" s="156"/>
      <c r="E40" s="156"/>
      <c r="F40" s="156"/>
      <c r="G40" s="156"/>
      <c r="I40" s="177"/>
    </row>
    <row r="41" spans="1:10" ht="12.75" customHeight="1">
      <c r="A41" s="157" t="s">
        <v>78</v>
      </c>
      <c r="B41" s="156"/>
      <c r="C41" s="156"/>
      <c r="D41" s="156"/>
      <c r="E41" s="156"/>
      <c r="F41" s="156"/>
      <c r="G41" s="156"/>
      <c r="I41" s="177"/>
    </row>
    <row r="42" spans="1:10" ht="12.75" customHeight="1">
      <c r="A42" s="19"/>
      <c r="B42" s="19"/>
      <c r="E42" s="158" t="s">
        <v>5</v>
      </c>
      <c r="F42" s="159" t="s">
        <v>4</v>
      </c>
      <c r="G42" s="159"/>
      <c r="H42" s="646" t="s">
        <v>168</v>
      </c>
      <c r="I42" s="646"/>
      <c r="J42" s="241"/>
    </row>
    <row r="43" spans="1:10" ht="12.75" customHeight="1">
      <c r="B43" s="20" t="s">
        <v>46</v>
      </c>
      <c r="C43" s="35"/>
      <c r="D43" s="35"/>
      <c r="E43" s="117">
        <v>22</v>
      </c>
      <c r="F43" s="160" t="s">
        <v>63</v>
      </c>
      <c r="G43" s="159"/>
      <c r="H43" s="305"/>
      <c r="I43" s="304"/>
      <c r="J43" s="241"/>
    </row>
    <row r="44" spans="1:10" ht="12.75" customHeight="1">
      <c r="B44" s="21" t="s">
        <v>47</v>
      </c>
      <c r="C44" s="36"/>
      <c r="D44" s="36"/>
      <c r="E44" s="118">
        <v>1</v>
      </c>
      <c r="F44" s="161" t="s">
        <v>6</v>
      </c>
      <c r="G44" s="159"/>
      <c r="H44" s="299"/>
      <c r="I44" s="303"/>
      <c r="J44" s="241"/>
    </row>
    <row r="45" spans="1:10" ht="12.75" customHeight="1">
      <c r="B45" s="21" t="s">
        <v>48</v>
      </c>
      <c r="C45" s="36"/>
      <c r="D45" s="36"/>
      <c r="E45" s="118">
        <v>1</v>
      </c>
      <c r="F45" s="161" t="s">
        <v>6</v>
      </c>
      <c r="G45" s="159"/>
      <c r="H45" s="299"/>
      <c r="I45" s="303"/>
      <c r="J45" s="241"/>
    </row>
    <row r="46" spans="1:10" ht="12.75" customHeight="1">
      <c r="B46" s="21" t="s">
        <v>49</v>
      </c>
      <c r="C46" s="36"/>
      <c r="D46" s="36"/>
      <c r="E46" s="118">
        <v>1</v>
      </c>
      <c r="F46" s="161" t="s">
        <v>6</v>
      </c>
      <c r="G46" s="159"/>
      <c r="H46" s="299"/>
      <c r="I46" s="303"/>
      <c r="J46" s="241"/>
    </row>
    <row r="47" spans="1:10" ht="4.5" customHeight="1">
      <c r="A47" s="19"/>
      <c r="B47" s="19"/>
      <c r="E47" s="162"/>
      <c r="F47" s="162"/>
      <c r="G47" s="162"/>
      <c r="H47" s="305"/>
      <c r="I47" s="304"/>
      <c r="J47" s="241"/>
    </row>
    <row r="48" spans="1:10" ht="12.75" customHeight="1">
      <c r="B48" s="553"/>
      <c r="C48" s="510" t="s">
        <v>204</v>
      </c>
      <c r="D48" s="36"/>
      <c r="E48" s="118">
        <v>0</v>
      </c>
      <c r="F48" s="161" t="s">
        <v>242</v>
      </c>
      <c r="G48" s="159"/>
      <c r="H48" s="302"/>
      <c r="I48" s="301"/>
      <c r="J48" s="1"/>
    </row>
    <row r="49" spans="1:10" ht="12.75" customHeight="1">
      <c r="B49" s="553"/>
      <c r="C49" s="510" t="s">
        <v>166</v>
      </c>
      <c r="D49" s="36"/>
      <c r="E49" s="118">
        <v>0</v>
      </c>
      <c r="F49" s="161" t="s">
        <v>242</v>
      </c>
      <c r="G49" s="159"/>
      <c r="H49" s="302"/>
      <c r="I49" s="301"/>
      <c r="J49" s="1"/>
    </row>
    <row r="50" spans="1:10" ht="12.75" customHeight="1">
      <c r="B50" s="553"/>
      <c r="C50" s="510" t="s">
        <v>165</v>
      </c>
      <c r="D50" s="36"/>
      <c r="E50" s="118">
        <v>0</v>
      </c>
      <c r="F50" s="161" t="s">
        <v>240</v>
      </c>
      <c r="G50" s="159"/>
      <c r="H50" s="299"/>
      <c r="I50" s="298"/>
      <c r="J50" s="1"/>
    </row>
    <row r="51" spans="1:10" ht="12.75" customHeight="1">
      <c r="B51" s="553"/>
      <c r="C51" s="510" t="s">
        <v>177</v>
      </c>
      <c r="D51" s="36"/>
      <c r="E51" s="118">
        <v>0</v>
      </c>
      <c r="F51" s="161" t="s">
        <v>239</v>
      </c>
      <c r="G51" s="159"/>
      <c r="H51" s="299"/>
      <c r="I51" s="298"/>
      <c r="J51" s="1"/>
    </row>
    <row r="52" spans="1:10" ht="4.5" customHeight="1">
      <c r="A52" s="19"/>
      <c r="B52" s="19"/>
      <c r="C52" s="164"/>
      <c r="D52" s="164"/>
      <c r="E52" s="164"/>
      <c r="F52" s="164"/>
      <c r="G52" s="164"/>
      <c r="H52" s="511"/>
      <c r="I52" s="512"/>
      <c r="J52" s="1"/>
    </row>
    <row r="53" spans="1:10" ht="12.75" customHeight="1">
      <c r="B53" s="19" t="s">
        <v>45</v>
      </c>
      <c r="C53" s="163"/>
      <c r="D53" s="164"/>
      <c r="E53" s="165">
        <f>SUM(E43:E51)</f>
        <v>25</v>
      </c>
      <c r="F53" s="164"/>
      <c r="G53" s="164"/>
      <c r="I53" s="238"/>
      <c r="J53" s="1"/>
    </row>
    <row r="54" spans="1:10" ht="12.95" customHeight="1">
      <c r="B54" s="19"/>
      <c r="C54" s="164"/>
      <c r="D54" s="164"/>
      <c r="E54" s="164"/>
      <c r="F54" s="164"/>
      <c r="G54" s="164"/>
      <c r="I54" s="238"/>
      <c r="J54" s="1"/>
    </row>
    <row r="55" spans="1:10" ht="12.75" customHeight="1">
      <c r="A55" s="157" t="s">
        <v>15</v>
      </c>
      <c r="B55" s="157"/>
      <c r="C55" s="156"/>
      <c r="D55" s="156"/>
      <c r="E55" s="156"/>
      <c r="F55" s="156"/>
      <c r="G55" s="156"/>
      <c r="H55" s="251"/>
      <c r="I55" s="1"/>
    </row>
    <row r="56" spans="1:10" ht="4.3499999999999996" customHeight="1">
      <c r="A56" s="157"/>
      <c r="B56" s="157"/>
      <c r="C56" s="157"/>
      <c r="I56" s="1"/>
    </row>
    <row r="57" spans="1:10" ht="12.75" customHeight="1">
      <c r="A57" s="166" t="s">
        <v>11</v>
      </c>
      <c r="B57" s="166"/>
      <c r="E57" s="195">
        <f>I37</f>
        <v>9862500</v>
      </c>
      <c r="I57" s="1"/>
    </row>
    <row r="58" spans="1:10" ht="4.3499999999999996" customHeight="1">
      <c r="A58" s="19"/>
      <c r="B58" s="19"/>
      <c r="C58" s="19"/>
      <c r="D58" s="19"/>
      <c r="E58" s="163"/>
      <c r="F58" s="657"/>
      <c r="G58" s="657"/>
      <c r="H58" s="657"/>
      <c r="I58" s="657"/>
    </row>
    <row r="59" spans="1:10" ht="12.75" customHeight="1">
      <c r="A59" s="24" t="s">
        <v>64</v>
      </c>
      <c r="B59" s="24"/>
      <c r="E59" s="469">
        <f>0.0425*E53+0.83</f>
        <v>1.89</v>
      </c>
      <c r="F59" s="656" t="str">
        <f>IF(I37&lt;100000,"! gemäß TW.9 (3): Ist die Bemessungsgrundlage niedriger als 100.000 €, sollte der Ermittlungsweg über Abschätzung des Büro- / Personalaufwandes gewählt werden","")</f>
        <v/>
      </c>
      <c r="G59" s="656"/>
      <c r="H59" s="656"/>
      <c r="I59" s="656"/>
    </row>
    <row r="60" spans="1:10" ht="4.3499999999999996" customHeight="1">
      <c r="A60" s="19"/>
      <c r="B60" s="19"/>
      <c r="E60" s="29"/>
      <c r="F60" s="656"/>
      <c r="G60" s="656"/>
      <c r="H60" s="656"/>
      <c r="I60" s="656"/>
    </row>
    <row r="61" spans="1:10" s="110" customFormat="1" ht="18" customHeight="1">
      <c r="A61" s="19" t="s">
        <v>65</v>
      </c>
      <c r="B61" s="19"/>
      <c r="E61" s="297">
        <f>ROUND(37.056*E57^(-0.1495)*E59/100,6)</f>
        <v>6.3055E-2</v>
      </c>
      <c r="F61" s="656"/>
      <c r="G61" s="656"/>
      <c r="H61" s="656"/>
      <c r="I61" s="656"/>
      <c r="J61" s="252"/>
    </row>
    <row r="62" spans="1:10" ht="12" customHeight="1">
      <c r="A62" s="19" t="s">
        <v>249</v>
      </c>
      <c r="B62" s="19"/>
      <c r="E62" s="616">
        <v>0</v>
      </c>
      <c r="F62" s="656"/>
      <c r="G62" s="656"/>
      <c r="H62" s="656"/>
      <c r="I62" s="656"/>
    </row>
    <row r="63" spans="1:10" ht="15" customHeight="1">
      <c r="A63" s="22" t="s">
        <v>205</v>
      </c>
      <c r="B63" s="20"/>
      <c r="C63" s="168"/>
      <c r="D63" s="168"/>
      <c r="E63" s="169"/>
      <c r="F63" s="470">
        <f>ROUND(E57*E61*(1+E62),2)</f>
        <v>621880</v>
      </c>
      <c r="I63" s="1"/>
    </row>
    <row r="64" spans="1:10" ht="4.3499999999999996" customHeight="1">
      <c r="A64" s="24"/>
      <c r="B64" s="19"/>
      <c r="C64" s="156"/>
      <c r="D64" s="156"/>
      <c r="E64" s="170"/>
      <c r="F64" s="170"/>
      <c r="G64" s="170"/>
      <c r="I64" s="1"/>
    </row>
    <row r="65" spans="1:11" ht="12.95" customHeight="1">
      <c r="A65" s="24"/>
      <c r="B65" s="19"/>
      <c r="C65" s="156"/>
      <c r="D65" s="514" t="s">
        <v>147</v>
      </c>
      <c r="E65" s="270" t="s">
        <v>5</v>
      </c>
      <c r="F65" s="170"/>
      <c r="G65" s="560"/>
      <c r="H65" s="158"/>
      <c r="I65" s="30"/>
    </row>
    <row r="66" spans="1:11" ht="12.75" customHeight="1">
      <c r="A66" s="156" t="s">
        <v>98</v>
      </c>
      <c r="B66" s="156"/>
      <c r="D66" s="271">
        <v>0.02</v>
      </c>
      <c r="E66" s="222">
        <v>0.02</v>
      </c>
      <c r="F66" s="177">
        <f>$F$63*E66</f>
        <v>12438</v>
      </c>
      <c r="G66" s="295"/>
      <c r="H66" s="561"/>
      <c r="I66" s="177"/>
    </row>
    <row r="67" spans="1:11" ht="12.75" customHeight="1">
      <c r="A67" s="156" t="s">
        <v>35</v>
      </c>
      <c r="B67" s="156"/>
      <c r="D67" s="271">
        <v>0.1</v>
      </c>
      <c r="E67" s="223">
        <v>0.1</v>
      </c>
      <c r="F67" s="177">
        <f t="shared" ref="F67:F75" si="1">$F$63*E67</f>
        <v>62188</v>
      </c>
      <c r="G67" s="294"/>
      <c r="H67" s="562"/>
      <c r="I67" s="177"/>
    </row>
    <row r="68" spans="1:11" ht="12.75" customHeight="1">
      <c r="A68" s="156" t="s">
        <v>36</v>
      </c>
      <c r="B68" s="156"/>
      <c r="D68" s="271">
        <v>0.15</v>
      </c>
      <c r="E68" s="223">
        <v>0.15</v>
      </c>
      <c r="F68" s="177">
        <f t="shared" si="1"/>
        <v>93282</v>
      </c>
      <c r="G68" s="294"/>
      <c r="H68" s="562"/>
      <c r="I68" s="177"/>
    </row>
    <row r="69" spans="1:11" ht="12.75" customHeight="1">
      <c r="A69" s="156" t="s">
        <v>37</v>
      </c>
      <c r="B69" s="156"/>
      <c r="D69" s="271">
        <v>0.25</v>
      </c>
      <c r="E69" s="223">
        <v>0.25</v>
      </c>
      <c r="F69" s="177">
        <f t="shared" si="1"/>
        <v>155470</v>
      </c>
      <c r="G69" s="294"/>
      <c r="H69" s="562"/>
      <c r="I69" s="177"/>
    </row>
    <row r="70" spans="1:11" ht="12.75" customHeight="1">
      <c r="A70" s="156" t="s">
        <v>99</v>
      </c>
      <c r="B70" s="156"/>
      <c r="D70" s="271">
        <v>0.32</v>
      </c>
      <c r="E70" s="223">
        <v>0.32</v>
      </c>
      <c r="F70" s="177">
        <f t="shared" si="1"/>
        <v>199002</v>
      </c>
      <c r="G70" s="294"/>
      <c r="H70" s="562"/>
      <c r="I70" s="177"/>
    </row>
    <row r="71" spans="1:11" ht="12.75" customHeight="1">
      <c r="A71" s="156" t="s">
        <v>100</v>
      </c>
      <c r="B71" s="156"/>
      <c r="D71" s="271">
        <v>0.02</v>
      </c>
      <c r="E71" s="223">
        <v>0.02</v>
      </c>
      <c r="F71" s="177">
        <f t="shared" si="1"/>
        <v>12438</v>
      </c>
      <c r="G71" s="295"/>
      <c r="H71" s="561"/>
      <c r="I71" s="177"/>
    </row>
    <row r="72" spans="1:11" ht="12.75" customHeight="1">
      <c r="A72" s="156" t="s">
        <v>40</v>
      </c>
      <c r="B72" s="156"/>
      <c r="D72" s="271">
        <v>0</v>
      </c>
      <c r="E72" s="223">
        <v>0</v>
      </c>
      <c r="F72" s="177">
        <f t="shared" si="1"/>
        <v>0</v>
      </c>
      <c r="G72" s="294"/>
      <c r="H72" s="562"/>
      <c r="I72" s="177"/>
    </row>
    <row r="73" spans="1:11" ht="12.75" customHeight="1">
      <c r="A73" s="156" t="s">
        <v>103</v>
      </c>
      <c r="B73" s="156"/>
      <c r="D73" s="271">
        <v>0.05</v>
      </c>
      <c r="E73" s="223">
        <v>0.05</v>
      </c>
      <c r="F73" s="177">
        <f t="shared" si="1"/>
        <v>31094</v>
      </c>
      <c r="G73" s="294"/>
      <c r="H73" s="562"/>
      <c r="I73" s="177"/>
    </row>
    <row r="74" spans="1:11" ht="12.75" customHeight="1">
      <c r="A74" s="156" t="s">
        <v>101</v>
      </c>
      <c r="B74" s="156"/>
      <c r="D74" s="271">
        <v>0.09</v>
      </c>
      <c r="E74" s="223">
        <v>0.09</v>
      </c>
      <c r="F74" s="177">
        <f t="shared" si="1"/>
        <v>55969</v>
      </c>
      <c r="G74" s="294"/>
      <c r="H74" s="562"/>
      <c r="I74" s="177"/>
    </row>
    <row r="75" spans="1:11" ht="12.75" customHeight="1">
      <c r="A75" s="168" t="s">
        <v>102</v>
      </c>
      <c r="B75" s="168"/>
      <c r="C75" s="35"/>
      <c r="D75" s="272">
        <v>0</v>
      </c>
      <c r="E75" s="224">
        <v>0</v>
      </c>
      <c r="F75" s="178">
        <f t="shared" si="1"/>
        <v>0</v>
      </c>
      <c r="G75" s="293"/>
      <c r="H75" s="563"/>
      <c r="I75" s="178"/>
    </row>
    <row r="76" spans="1:11" s="16" customFormat="1" ht="18.600000000000001" customHeight="1">
      <c r="A76" s="292" t="s">
        <v>44</v>
      </c>
      <c r="B76" s="417"/>
      <c r="D76" s="621">
        <f>SUM(D66:D75)</f>
        <v>1</v>
      </c>
      <c r="E76" s="289">
        <f>SUM(E66:E75)</f>
        <v>1</v>
      </c>
      <c r="F76" s="288">
        <f>SUM(F66:F75)</f>
        <v>621881</v>
      </c>
      <c r="G76" s="288"/>
      <c r="H76" s="289"/>
      <c r="I76" s="288"/>
      <c r="J76" s="515"/>
    </row>
    <row r="77" spans="1:11" ht="12.75" customHeight="1">
      <c r="A77" s="534" t="s">
        <v>206</v>
      </c>
      <c r="B77" s="171"/>
      <c r="D77" s="625">
        <v>0.01</v>
      </c>
      <c r="E77" s="222">
        <v>0.01</v>
      </c>
      <c r="F77" s="177">
        <f>$F$63*E77</f>
        <v>6219</v>
      </c>
      <c r="G77" s="172"/>
      <c r="H77" s="177"/>
      <c r="I77" s="91"/>
      <c r="J77" s="1"/>
    </row>
    <row r="78" spans="1:11" ht="12.75" customHeight="1">
      <c r="A78" s="536" t="s">
        <v>260</v>
      </c>
      <c r="B78" s="174"/>
      <c r="C78" s="35"/>
      <c r="D78" s="493">
        <v>0.02</v>
      </c>
      <c r="E78" s="494">
        <v>0</v>
      </c>
      <c r="F78" s="178">
        <f>$F$63*E78</f>
        <v>0</v>
      </c>
      <c r="G78" s="600"/>
      <c r="H78" s="178"/>
      <c r="I78" s="603"/>
      <c r="J78" s="1"/>
    </row>
    <row r="79" spans="1:11" ht="12.75" customHeight="1">
      <c r="A79" s="644" t="s">
        <v>251</v>
      </c>
      <c r="B79" s="644"/>
      <c r="C79" s="644"/>
      <c r="D79" s="622">
        <f>SUM(D76:D78)</f>
        <v>1.03</v>
      </c>
      <c r="E79" s="172">
        <f>SUM(E76:E78)</f>
        <v>1.01</v>
      </c>
      <c r="F79" s="288">
        <f>SUM(F76:F78)</f>
        <v>628100</v>
      </c>
      <c r="H79" s="172"/>
      <c r="I79" s="99">
        <f>F79</f>
        <v>628100</v>
      </c>
      <c r="J79" s="1"/>
      <c r="K79" s="9"/>
    </row>
    <row r="80" spans="1:11" ht="12.75" customHeight="1">
      <c r="A80" s="175"/>
      <c r="B80" s="19"/>
      <c r="D80" s="172"/>
      <c r="E80" s="172"/>
      <c r="F80" s="179"/>
      <c r="G80" s="8"/>
      <c r="I80" s="356"/>
      <c r="J80" s="1"/>
    </row>
    <row r="81" spans="1:13" ht="12.75" customHeight="1">
      <c r="A81" s="33" t="s">
        <v>123</v>
      </c>
      <c r="E81" s="357">
        <v>0</v>
      </c>
      <c r="F81" s="229">
        <v>0</v>
      </c>
      <c r="G81" s="571"/>
      <c r="I81" s="91">
        <f>E81*F81</f>
        <v>0</v>
      </c>
      <c r="K81"/>
      <c r="L81"/>
      <c r="M81"/>
    </row>
    <row r="82" spans="1:13" ht="4.3499999999999996" customHeight="1">
      <c r="E82" s="32"/>
      <c r="I82"/>
    </row>
    <row r="83" spans="1:13" s="24" customFormat="1" ht="12.75" customHeight="1">
      <c r="A83" s="94" t="s">
        <v>207</v>
      </c>
      <c r="B83" s="95"/>
      <c r="C83" s="96"/>
      <c r="D83" s="98"/>
      <c r="E83" s="226"/>
      <c r="F83" s="97"/>
      <c r="G83" s="97"/>
      <c r="H83" s="97"/>
      <c r="I83" s="99">
        <f>I79+I81</f>
        <v>628100</v>
      </c>
    </row>
    <row r="84" spans="1:13" s="24" customFormat="1" ht="4.5" customHeight="1">
      <c r="B84" s="25"/>
      <c r="C84" s="26"/>
      <c r="D84" s="47"/>
      <c r="E84" s="217"/>
      <c r="F84" s="48"/>
      <c r="G84" s="48"/>
      <c r="I84" s="91"/>
    </row>
    <row r="85" spans="1:13" s="24" customFormat="1" ht="12.75" customHeight="1">
      <c r="A85" s="49" t="s">
        <v>13</v>
      </c>
      <c r="B85" s="25"/>
      <c r="C85" s="26"/>
      <c r="D85" s="47"/>
      <c r="E85" s="218">
        <v>0.04</v>
      </c>
      <c r="F85" s="48"/>
      <c r="G85" s="48"/>
      <c r="I85" s="91">
        <f>ROUND(I83*E85,2)</f>
        <v>25124</v>
      </c>
    </row>
    <row r="86" spans="1:13" s="24" customFormat="1" ht="3" customHeight="1">
      <c r="A86" s="50"/>
      <c r="B86" s="51"/>
      <c r="C86" s="52"/>
      <c r="D86" s="56"/>
      <c r="E86" s="219"/>
      <c r="F86" s="57"/>
      <c r="G86" s="57"/>
      <c r="H86" s="50"/>
      <c r="I86" s="93"/>
    </row>
    <row r="87" spans="1:13" s="24" customFormat="1" ht="3" customHeight="1">
      <c r="B87" s="25"/>
      <c r="C87" s="26"/>
      <c r="D87" s="58"/>
      <c r="E87" s="220"/>
      <c r="F87" s="65"/>
      <c r="G87" s="65"/>
      <c r="H87" s="59"/>
      <c r="I87" s="91"/>
    </row>
    <row r="88" spans="1:13" s="24" customFormat="1" ht="12.75" customHeight="1">
      <c r="A88" s="53" t="s">
        <v>208</v>
      </c>
      <c r="B88" s="54"/>
      <c r="C88" s="55"/>
      <c r="D88" s="27"/>
      <c r="E88" s="217"/>
      <c r="F88" s="48"/>
      <c r="G88" s="48"/>
      <c r="I88" s="92">
        <f>I83+I85</f>
        <v>653224</v>
      </c>
    </row>
    <row r="89" spans="1:13" s="24" customFormat="1" ht="12.75" customHeight="1">
      <c r="A89" s="24" t="s">
        <v>14</v>
      </c>
      <c r="B89" s="25"/>
      <c r="C89" s="26"/>
      <c r="D89" s="27"/>
      <c r="E89" s="28">
        <v>0.2</v>
      </c>
      <c r="F89" s="28"/>
      <c r="G89" s="28"/>
      <c r="I89" s="91">
        <f>ROUND(I88*E89,2)</f>
        <v>130645</v>
      </c>
    </row>
    <row r="90" spans="1:13" s="24" customFormat="1" ht="3" customHeight="1">
      <c r="B90" s="25"/>
      <c r="C90" s="26"/>
      <c r="D90" s="27"/>
      <c r="E90" s="48"/>
      <c r="F90" s="48"/>
      <c r="G90" s="48"/>
      <c r="I90" s="91"/>
    </row>
    <row r="91" spans="1:13" s="24" customFormat="1" ht="12.75" customHeight="1">
      <c r="A91" s="184" t="s">
        <v>209</v>
      </c>
      <c r="B91" s="196"/>
      <c r="C91" s="185"/>
      <c r="D91" s="187"/>
      <c r="E91" s="188"/>
      <c r="F91" s="188"/>
      <c r="G91" s="188"/>
      <c r="H91" s="186"/>
      <c r="I91" s="189">
        <f>SUM(I87:I89)</f>
        <v>783869</v>
      </c>
    </row>
    <row r="92" spans="1:13" ht="5.0999999999999996" customHeight="1"/>
    <row r="93" spans="1:13" ht="15" customHeight="1">
      <c r="A93" s="198" t="s">
        <v>106</v>
      </c>
      <c r="B93" s="199"/>
      <c r="C93" s="198"/>
      <c r="D93" s="198"/>
      <c r="E93" s="255">
        <f>I88/E33</f>
        <v>2.2960000000000001E-2</v>
      </c>
    </row>
  </sheetData>
  <mergeCells count="14">
    <mergeCell ref="A23:B23"/>
    <mergeCell ref="H2:I2"/>
    <mergeCell ref="A7:B7"/>
    <mergeCell ref="A9:B9"/>
    <mergeCell ref="A11:B11"/>
    <mergeCell ref="A21:B21"/>
    <mergeCell ref="A79:C79"/>
    <mergeCell ref="F59:I62"/>
    <mergeCell ref="A25:B25"/>
    <mergeCell ref="A27:B27"/>
    <mergeCell ref="A29:B29"/>
    <mergeCell ref="A31:B31"/>
    <mergeCell ref="H42:I42"/>
    <mergeCell ref="F58:I58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&amp;L&amp;"Arial,Fett"&amp;K01+040Angebot Tragwerksplanung&amp;"Arial,Standard"
nach VM.TW.2023&amp;R&amp;"Arial,Standard"&amp;K01+040Version 1
Stand: 15.09.2023</oddHeader>
    <oddFooter>&amp;L&amp;"Arial,Fett"&amp;K01+043LM.VM.2023&amp;"Arial,Standard"  |  Tragwerksplanung  |  Angebotsformular&amp;R&amp;"Arial,Standard"&amp;K01+043&amp;P/&amp;N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Scroll Bar 1">
              <controlPr defaultSize="0" autoPict="0">
                <anchor moveWithCells="1">
                  <from>
                    <xdr:col>7</xdr:col>
                    <xdr:colOff>38100</xdr:colOff>
                    <xdr:row>42</xdr:row>
                    <xdr:rowOff>28575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28575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Scroll Bar 4">
              <controlPr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Scroll Bar 5">
              <controlPr defaultSize="0" autoPict="0">
                <anchor moveWithCells="1">
                  <from>
                    <xdr:col>7</xdr:col>
                    <xdr:colOff>38100</xdr:colOff>
                    <xdr:row>47</xdr:row>
                    <xdr:rowOff>28575</xdr:rowOff>
                  </from>
                  <to>
                    <xdr:col>8</xdr:col>
                    <xdr:colOff>1019175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Scroll Bar 6">
              <controlPr defaultSize="0" autoPict="0">
                <anchor moveWithCells="1">
                  <from>
                    <xdr:col>7</xdr:col>
                    <xdr:colOff>47625</xdr:colOff>
                    <xdr:row>49</xdr:row>
                    <xdr:rowOff>28575</xdr:rowOff>
                  </from>
                  <to>
                    <xdr:col>8</xdr:col>
                    <xdr:colOff>1019175</xdr:colOff>
                    <xdr:row>49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Scroll Bar 7">
              <controlPr defaultSize="0" autoPict="0">
                <anchor moveWithCells="1">
                  <from>
                    <xdr:col>7</xdr:col>
                    <xdr:colOff>47625</xdr:colOff>
                    <xdr:row>50</xdr:row>
                    <xdr:rowOff>28575</xdr:rowOff>
                  </from>
                  <to>
                    <xdr:col>8</xdr:col>
                    <xdr:colOff>1019175</xdr:colOff>
                    <xdr:row>50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Scroll Bar 8">
              <controlPr defaultSize="0" autoPict="0">
                <anchor moveWithCells="1">
                  <from>
                    <xdr:col>7</xdr:col>
                    <xdr:colOff>38100</xdr:colOff>
                    <xdr:row>48</xdr:row>
                    <xdr:rowOff>28575</xdr:rowOff>
                  </from>
                  <to>
                    <xdr:col>8</xdr:col>
                    <xdr:colOff>1019175</xdr:colOff>
                    <xdr:row>48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3402-404B-4FFE-832C-56170ADBCF60}">
  <sheetPr>
    <tabColor theme="6"/>
  </sheetPr>
  <dimension ref="A1:N92"/>
  <sheetViews>
    <sheetView showGridLines="0" topLeftCell="A37" zoomScaleNormal="100" zoomScaleSheetLayoutView="85" zoomScalePageLayoutView="85" workbookViewId="0">
      <selection activeCell="F78" sqref="F78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48" t="s">
        <v>255</v>
      </c>
      <c r="I2" s="648"/>
      <c r="J2" s="550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45">
        <v>1</v>
      </c>
      <c r="B7" s="645"/>
      <c r="C7" s="76" t="s">
        <v>0</v>
      </c>
      <c r="D7" s="135">
        <f>E7/$E$33</f>
        <v>1E-3</v>
      </c>
      <c r="E7" s="479">
        <f>_1</f>
        <v>15000</v>
      </c>
      <c r="F7" s="72"/>
      <c r="G7" s="72"/>
      <c r="H7" s="526">
        <v>0</v>
      </c>
      <c r="I7" s="147">
        <f>E7*H7</f>
        <v>0</v>
      </c>
      <c r="K7" s="34"/>
    </row>
    <row r="8" spans="1:11" ht="6.95" customHeight="1">
      <c r="B8" s="4"/>
      <c r="C8" s="1"/>
      <c r="D8" s="136"/>
      <c r="E8" s="44"/>
      <c r="H8" s="527"/>
      <c r="I8" s="124"/>
      <c r="K8" s="44"/>
    </row>
    <row r="9" spans="1:11" s="11" customFormat="1" ht="12.95" customHeight="1">
      <c r="A9" s="645">
        <v>2</v>
      </c>
      <c r="B9" s="645"/>
      <c r="C9" s="76" t="s">
        <v>1</v>
      </c>
      <c r="D9" s="135">
        <f>E9/$E$33</f>
        <v>0.316</v>
      </c>
      <c r="E9" s="479">
        <f>_2</f>
        <v>9000000</v>
      </c>
      <c r="F9" s="72"/>
      <c r="G9" s="72"/>
      <c r="H9" s="528">
        <v>1</v>
      </c>
      <c r="I9" s="147">
        <f>E9*H9</f>
        <v>9000000</v>
      </c>
      <c r="K9" s="34"/>
    </row>
    <row r="10" spans="1:11" ht="6.95" customHeight="1">
      <c r="C10" s="1"/>
      <c r="D10" s="136"/>
      <c r="E10" s="518"/>
      <c r="H10" s="527"/>
      <c r="I10" s="123"/>
      <c r="K10" s="34"/>
    </row>
    <row r="11" spans="1:11" s="10" customFormat="1" ht="12.75" customHeight="1">
      <c r="A11" s="645">
        <v>3</v>
      </c>
      <c r="B11" s="645"/>
      <c r="C11" s="76" t="s">
        <v>7</v>
      </c>
      <c r="D11" s="135">
        <f>E11/$E$33</f>
        <v>0.19900000000000001</v>
      </c>
      <c r="E11" s="502">
        <f>_3</f>
        <v>5650000</v>
      </c>
      <c r="F11" s="72"/>
      <c r="G11" s="72"/>
      <c r="H11" s="527"/>
      <c r="I11" s="123"/>
      <c r="K11" s="34"/>
    </row>
    <row r="12" spans="1:11" ht="12.95" customHeight="1">
      <c r="A12" s="506">
        <v>3</v>
      </c>
      <c r="B12" s="79" t="s">
        <v>17</v>
      </c>
      <c r="C12" s="80" t="s">
        <v>18</v>
      </c>
      <c r="D12" s="137"/>
      <c r="E12" s="516">
        <f>_3.01</f>
        <v>900000</v>
      </c>
      <c r="F12" s="72"/>
      <c r="G12" s="72"/>
      <c r="H12" s="528">
        <v>1</v>
      </c>
      <c r="I12" s="148">
        <f t="shared" ref="I12:I19" si="0">E12*H12</f>
        <v>900000</v>
      </c>
      <c r="K12" s="34"/>
    </row>
    <row r="13" spans="1:11" ht="12.95" customHeight="1">
      <c r="A13" s="506">
        <v>3</v>
      </c>
      <c r="B13" s="83" t="s">
        <v>19</v>
      </c>
      <c r="C13" s="84" t="s">
        <v>26</v>
      </c>
      <c r="D13" s="138"/>
      <c r="E13" s="504">
        <f>_3.02</f>
        <v>1200000</v>
      </c>
      <c r="F13" s="72"/>
      <c r="G13" s="72"/>
      <c r="H13" s="528">
        <v>1</v>
      </c>
      <c r="I13" s="208">
        <f t="shared" si="0"/>
        <v>1200000</v>
      </c>
      <c r="K13" s="34"/>
    </row>
    <row r="14" spans="1:11" ht="12.95" customHeight="1">
      <c r="A14" s="506">
        <v>3</v>
      </c>
      <c r="B14" s="83" t="s">
        <v>20</v>
      </c>
      <c r="C14" s="84" t="s">
        <v>27</v>
      </c>
      <c r="D14" s="138"/>
      <c r="E14" s="517">
        <f>_3.03</f>
        <v>1000000</v>
      </c>
      <c r="F14" s="72"/>
      <c r="G14" s="72"/>
      <c r="H14" s="528">
        <v>1</v>
      </c>
      <c r="I14" s="208">
        <f t="shared" si="0"/>
        <v>1000000</v>
      </c>
      <c r="K14" s="34"/>
    </row>
    <row r="15" spans="1:11" ht="12.95" customHeight="1">
      <c r="A15" s="506">
        <v>3</v>
      </c>
      <c r="B15" s="83" t="s">
        <v>21</v>
      </c>
      <c r="C15" s="84" t="s">
        <v>28</v>
      </c>
      <c r="D15" s="138"/>
      <c r="E15" s="517">
        <f>_3.04</f>
        <v>1500000</v>
      </c>
      <c r="F15" s="72"/>
      <c r="G15" s="72"/>
      <c r="H15" s="528">
        <v>1</v>
      </c>
      <c r="I15" s="208">
        <f t="shared" si="0"/>
        <v>1500000</v>
      </c>
      <c r="K15" s="34"/>
    </row>
    <row r="16" spans="1:11" ht="12.95" customHeight="1">
      <c r="A16" s="506">
        <v>3</v>
      </c>
      <c r="B16" s="83" t="s">
        <v>22</v>
      </c>
      <c r="C16" s="84" t="s">
        <v>31</v>
      </c>
      <c r="D16" s="138"/>
      <c r="E16" s="517">
        <f>_3.05</f>
        <v>600000</v>
      </c>
      <c r="F16" s="72"/>
      <c r="G16" s="72"/>
      <c r="H16" s="528">
        <v>1</v>
      </c>
      <c r="I16" s="208">
        <f t="shared" si="0"/>
        <v>600000</v>
      </c>
      <c r="K16" s="34"/>
    </row>
    <row r="17" spans="1:11" ht="12.95" customHeight="1">
      <c r="A17" s="506">
        <v>3</v>
      </c>
      <c r="B17" s="83" t="s">
        <v>23</v>
      </c>
      <c r="C17" s="84" t="s">
        <v>29</v>
      </c>
      <c r="D17" s="138"/>
      <c r="E17" s="517">
        <f>_3.06</f>
        <v>150000</v>
      </c>
      <c r="F17" s="72"/>
      <c r="G17" s="72"/>
      <c r="H17" s="528">
        <v>1</v>
      </c>
      <c r="I17" s="208">
        <f t="shared" si="0"/>
        <v>150000</v>
      </c>
      <c r="K17" s="34"/>
    </row>
    <row r="18" spans="1:11" ht="12.95" customHeight="1">
      <c r="A18" s="506">
        <v>3</v>
      </c>
      <c r="B18" s="83" t="s">
        <v>24</v>
      </c>
      <c r="C18" s="84" t="s">
        <v>30</v>
      </c>
      <c r="D18" s="138"/>
      <c r="E18" s="517">
        <f>_3.07</f>
        <v>0</v>
      </c>
      <c r="F18" s="72"/>
      <c r="G18" s="72"/>
      <c r="H18" s="528">
        <v>0</v>
      </c>
      <c r="I18" s="208">
        <f t="shared" si="0"/>
        <v>0</v>
      </c>
      <c r="K18" s="34"/>
    </row>
    <row r="19" spans="1:11" ht="12.95" customHeight="1">
      <c r="A19" s="506">
        <v>3</v>
      </c>
      <c r="B19" s="83" t="s">
        <v>25</v>
      </c>
      <c r="C19" s="84" t="s">
        <v>8</v>
      </c>
      <c r="D19" s="138"/>
      <c r="E19" s="517">
        <f>_3.08</f>
        <v>300000</v>
      </c>
      <c r="F19" s="72"/>
      <c r="G19" s="72"/>
      <c r="H19" s="528">
        <v>1</v>
      </c>
      <c r="I19" s="209">
        <f t="shared" si="0"/>
        <v>300000</v>
      </c>
      <c r="K19" s="34"/>
    </row>
    <row r="20" spans="1:11" ht="6.95" customHeight="1">
      <c r="C20" s="1"/>
      <c r="D20" s="136"/>
      <c r="E20" s="34"/>
      <c r="H20" s="529"/>
      <c r="I20" s="123"/>
      <c r="K20" s="151"/>
    </row>
    <row r="21" spans="1:11" s="10" customFormat="1" ht="12.75" customHeight="1">
      <c r="A21" s="645">
        <v>4</v>
      </c>
      <c r="B21" s="645"/>
      <c r="C21" s="76" t="s">
        <v>2</v>
      </c>
      <c r="D21" s="135">
        <f>E21/$E$33</f>
        <v>0.21099999999999999</v>
      </c>
      <c r="E21" s="479">
        <f>_4</f>
        <v>6000000</v>
      </c>
      <c r="F21" s="72"/>
      <c r="G21" s="72"/>
      <c r="H21" s="528">
        <v>1</v>
      </c>
      <c r="I21" s="147">
        <f>E21*H21</f>
        <v>6000000</v>
      </c>
      <c r="K21" s="34"/>
    </row>
    <row r="22" spans="1:11" ht="6.95" customHeight="1">
      <c r="B22" s="4"/>
      <c r="C22" s="1"/>
      <c r="D22" s="136"/>
      <c r="E22" s="34"/>
      <c r="H22" s="527"/>
      <c r="I22" s="123"/>
      <c r="K22" s="33"/>
    </row>
    <row r="23" spans="1:11" s="11" customFormat="1" ht="12.95" customHeight="1">
      <c r="A23" s="645">
        <v>5</v>
      </c>
      <c r="B23" s="645"/>
      <c r="C23" s="76" t="s">
        <v>9</v>
      </c>
      <c r="D23" s="135">
        <f>E23/$E$33</f>
        <v>5.8000000000000003E-2</v>
      </c>
      <c r="E23" s="503">
        <f>_5</f>
        <v>1650000</v>
      </c>
      <c r="F23" s="72"/>
      <c r="G23" s="72"/>
      <c r="H23" s="528">
        <v>0</v>
      </c>
      <c r="I23" s="147">
        <f>E23*H23</f>
        <v>0</v>
      </c>
      <c r="K23" s="34"/>
    </row>
    <row r="24" spans="1:11" ht="6.95" customHeight="1">
      <c r="C24" s="1"/>
      <c r="D24" s="136"/>
      <c r="E24" s="34"/>
      <c r="H24" s="527"/>
      <c r="I24" s="123"/>
      <c r="K24" s="34"/>
    </row>
    <row r="25" spans="1:11" s="10" customFormat="1" ht="12.95" customHeight="1">
      <c r="A25" s="645">
        <v>6</v>
      </c>
      <c r="B25" s="645"/>
      <c r="C25" s="76" t="s">
        <v>3</v>
      </c>
      <c r="D25" s="135">
        <f>E25/$E$33</f>
        <v>1.7999999999999999E-2</v>
      </c>
      <c r="E25" s="479">
        <f>_6</f>
        <v>500000</v>
      </c>
      <c r="F25" s="72"/>
      <c r="G25" s="72"/>
      <c r="H25" s="528">
        <v>0</v>
      </c>
      <c r="I25" s="147">
        <f>E25*H25</f>
        <v>0</v>
      </c>
      <c r="K25" s="34"/>
    </row>
    <row r="26" spans="1:11" ht="6.95" customHeight="1">
      <c r="B26" s="13"/>
      <c r="C26" s="1"/>
      <c r="D26" s="139"/>
      <c r="E26" s="34"/>
      <c r="H26" s="527"/>
      <c r="I26" s="123"/>
      <c r="K26" s="34"/>
    </row>
    <row r="27" spans="1:11" s="11" customFormat="1" ht="12.95" customHeight="1">
      <c r="A27" s="645">
        <v>7</v>
      </c>
      <c r="B27" s="645"/>
      <c r="C27" s="76" t="s">
        <v>113</v>
      </c>
      <c r="D27" s="135">
        <f>E27/$E$33</f>
        <v>0.14099999999999999</v>
      </c>
      <c r="E27" s="479">
        <f>_7</f>
        <v>4000000</v>
      </c>
      <c r="F27" s="72"/>
      <c r="G27" s="72"/>
      <c r="H27" s="528">
        <v>0</v>
      </c>
      <c r="I27" s="147">
        <f>E27*H27</f>
        <v>0</v>
      </c>
      <c r="K27" s="34"/>
    </row>
    <row r="28" spans="1:11" ht="6.95" customHeight="1">
      <c r="C28" s="1"/>
      <c r="D28" s="139"/>
      <c r="E28" s="34"/>
      <c r="H28" s="527"/>
      <c r="I28" s="123"/>
      <c r="K28" s="34"/>
    </row>
    <row r="29" spans="1:11" s="11" customFormat="1" ht="12.95" customHeight="1">
      <c r="A29" s="645">
        <v>8</v>
      </c>
      <c r="B29" s="645"/>
      <c r="C29" s="76" t="s">
        <v>105</v>
      </c>
      <c r="D29" s="135">
        <f>E29/$E$33</f>
        <v>1E-3</v>
      </c>
      <c r="E29" s="479">
        <f>_8</f>
        <v>36000</v>
      </c>
      <c r="F29" s="72"/>
      <c r="G29" s="72"/>
      <c r="H29" s="528">
        <v>0</v>
      </c>
      <c r="I29" s="147">
        <f>E29*H29</f>
        <v>0</v>
      </c>
      <c r="K29" s="34"/>
    </row>
    <row r="30" spans="1:11" ht="6.95" customHeight="1">
      <c r="C30" s="1"/>
      <c r="D30" s="139"/>
      <c r="E30" s="34"/>
      <c r="H30" s="529"/>
      <c r="I30" s="123"/>
      <c r="K30" s="151"/>
    </row>
    <row r="31" spans="1:11" s="11" customFormat="1" ht="12.95" customHeight="1">
      <c r="A31" s="645">
        <v>9</v>
      </c>
      <c r="B31" s="645"/>
      <c r="C31" s="76" t="s">
        <v>10</v>
      </c>
      <c r="D31" s="135">
        <f>E31/$E$33</f>
        <v>5.6000000000000001E-2</v>
      </c>
      <c r="E31" s="479">
        <f>_9</f>
        <v>1600000</v>
      </c>
      <c r="F31" s="72"/>
      <c r="G31" s="72"/>
      <c r="H31" s="528">
        <v>0.1</v>
      </c>
      <c r="I31" s="147">
        <f>E31*H31</f>
        <v>160000</v>
      </c>
      <c r="K31" s="34"/>
    </row>
    <row r="32" spans="1:11" ht="12" customHeight="1">
      <c r="B32" s="13"/>
      <c r="C32" s="5"/>
      <c r="D32" s="32"/>
      <c r="E32" s="23"/>
      <c r="H32" s="530"/>
      <c r="I32" s="1"/>
      <c r="K32" s="1"/>
    </row>
    <row r="33" spans="1:13" ht="12.95" customHeight="1">
      <c r="A33" s="113" t="s">
        <v>12</v>
      </c>
      <c r="B33" s="114"/>
      <c r="C33" s="114"/>
      <c r="D33" s="115">
        <f>SUM(D7:D31)</f>
        <v>1</v>
      </c>
      <c r="E33" s="486">
        <f>_EK</f>
        <v>28451000</v>
      </c>
      <c r="F33" s="64"/>
      <c r="G33" s="64"/>
      <c r="H33" s="531"/>
      <c r="I33" s="23"/>
      <c r="K33" s="23"/>
    </row>
    <row r="34" spans="1:13" ht="6" customHeight="1">
      <c r="B34" s="248"/>
      <c r="D34" s="32"/>
      <c r="E34" s="23"/>
      <c r="F34" s="9"/>
      <c r="G34" s="9"/>
      <c r="H34" s="530"/>
      <c r="I34" s="1"/>
      <c r="K34" s="1"/>
    </row>
    <row r="35" spans="1:13" s="10" customFormat="1" ht="12.95" customHeight="1">
      <c r="A35" s="645"/>
      <c r="B35" s="645"/>
      <c r="C35" s="75" t="s">
        <v>130</v>
      </c>
      <c r="D35" s="135"/>
      <c r="E35" s="479">
        <f>_mvB</f>
        <v>120000</v>
      </c>
      <c r="F35" s="72"/>
      <c r="G35" s="72"/>
      <c r="H35" s="528">
        <v>1</v>
      </c>
      <c r="I35" s="147">
        <f>E35*H35</f>
        <v>120000</v>
      </c>
    </row>
    <row r="36" spans="1:13" ht="6" customHeight="1">
      <c r="F36" s="32"/>
      <c r="H36" s="8"/>
      <c r="I36" s="9"/>
    </row>
    <row r="37" spans="1:13" s="14" customFormat="1" ht="12.95" customHeight="1">
      <c r="A37" s="191" t="s">
        <v>32</v>
      </c>
      <c r="B37" s="192"/>
      <c r="C37" s="192"/>
      <c r="D37" s="192"/>
      <c r="E37" s="203"/>
      <c r="F37" s="203"/>
      <c r="G37" s="203"/>
      <c r="H37" s="204"/>
      <c r="I37" s="205">
        <f>SUM(I7:I35)</f>
        <v>20930000</v>
      </c>
      <c r="K37" s="602"/>
    </row>
    <row r="38" spans="1:13" s="16" customFormat="1" ht="12.95" customHeight="1">
      <c r="B38" s="18"/>
      <c r="C38" s="18"/>
      <c r="I38" s="153"/>
      <c r="J38" s="153"/>
      <c r="K38" s="153"/>
    </row>
    <row r="39" spans="1:13" ht="12.75" customHeight="1">
      <c r="A39" s="154" t="s">
        <v>155</v>
      </c>
      <c r="B39" s="154"/>
      <c r="C39" s="154"/>
      <c r="D39" s="155"/>
      <c r="E39" s="155"/>
      <c r="F39" s="155"/>
      <c r="G39" s="155"/>
      <c r="H39" s="155"/>
      <c r="I39" s="154"/>
      <c r="J39" s="551"/>
      <c r="K39" s="157"/>
    </row>
    <row r="40" spans="1:13" ht="6.75" customHeight="1">
      <c r="A40" s="156"/>
      <c r="B40" s="156"/>
      <c r="C40" s="156"/>
      <c r="D40" s="156"/>
      <c r="E40" s="156"/>
      <c r="F40" s="156"/>
      <c r="G40" s="156"/>
      <c r="H40" s="156"/>
      <c r="J40" s="177"/>
    </row>
    <row r="41" spans="1:13" ht="12.75" customHeight="1">
      <c r="A41" s="157" t="s">
        <v>78</v>
      </c>
      <c r="B41" s="156"/>
      <c r="C41" s="156"/>
      <c r="D41" s="156"/>
      <c r="E41" s="156"/>
      <c r="F41" s="156"/>
      <c r="G41" s="156"/>
      <c r="H41" s="156"/>
      <c r="J41" s="177"/>
    </row>
    <row r="42" spans="1:13" ht="12.75" customHeight="1">
      <c r="A42" s="19"/>
      <c r="B42" s="19"/>
      <c r="C42" s="19"/>
      <c r="E42" s="158" t="s">
        <v>5</v>
      </c>
      <c r="F42" s="159" t="s">
        <v>4</v>
      </c>
      <c r="H42" s="646" t="s">
        <v>168</v>
      </c>
      <c r="I42" s="646"/>
      <c r="J42" s="1"/>
      <c r="K42" s="241"/>
    </row>
    <row r="43" spans="1:13" ht="12.75" customHeight="1">
      <c r="B43" s="20" t="s">
        <v>46</v>
      </c>
      <c r="C43" s="41"/>
      <c r="D43" s="35"/>
      <c r="E43" s="117">
        <v>18</v>
      </c>
      <c r="F43" s="160" t="s">
        <v>58</v>
      </c>
      <c r="H43" s="462"/>
      <c r="I43" s="463"/>
      <c r="K43" s="241"/>
    </row>
    <row r="44" spans="1:13" ht="12.75" customHeight="1">
      <c r="B44" s="21" t="s">
        <v>47</v>
      </c>
      <c r="C44" s="42"/>
      <c r="D44" s="36"/>
      <c r="E44" s="118">
        <v>1</v>
      </c>
      <c r="F44" s="161" t="s">
        <v>6</v>
      </c>
      <c r="H44" s="464"/>
      <c r="I44" s="465"/>
      <c r="K44" s="241"/>
    </row>
    <row r="45" spans="1:13" ht="12.75" customHeight="1">
      <c r="B45" s="21" t="s">
        <v>48</v>
      </c>
      <c r="C45" s="42"/>
      <c r="D45" s="36"/>
      <c r="E45" s="118">
        <v>1</v>
      </c>
      <c r="F45" s="161" t="s">
        <v>6</v>
      </c>
      <c r="H45" s="464"/>
      <c r="I45" s="465"/>
      <c r="K45" s="241"/>
    </row>
    <row r="46" spans="1:13" ht="12.75" customHeight="1">
      <c r="B46" s="21" t="s">
        <v>49</v>
      </c>
      <c r="C46" s="36"/>
      <c r="D46" s="36"/>
      <c r="E46" s="118">
        <v>1</v>
      </c>
      <c r="F46" s="161" t="s">
        <v>6</v>
      </c>
      <c r="H46" s="466"/>
      <c r="I46" s="467"/>
      <c r="K46" s="241"/>
      <c r="M46" s="628"/>
    </row>
    <row r="47" spans="1:13" ht="4.5" customHeight="1">
      <c r="A47" s="19"/>
      <c r="B47" s="19"/>
      <c r="C47" s="19"/>
      <c r="E47" s="162"/>
      <c r="F47" s="162"/>
      <c r="H47" s="465"/>
      <c r="I47" s="465"/>
      <c r="J47" s="238"/>
      <c r="K47" s="241"/>
    </row>
    <row r="48" spans="1:13" ht="12.75" customHeight="1">
      <c r="A48" s="19"/>
      <c r="B48" s="553"/>
      <c r="C48" s="510" t="s">
        <v>204</v>
      </c>
      <c r="D48" s="36"/>
      <c r="E48" s="118">
        <v>0</v>
      </c>
      <c r="F48" s="161" t="s">
        <v>239</v>
      </c>
      <c r="H48" s="464"/>
      <c r="I48" s="465"/>
      <c r="J48" s="238"/>
      <c r="K48" s="241"/>
    </row>
    <row r="49" spans="1:12" ht="12.75" customHeight="1">
      <c r="A49" s="19"/>
      <c r="B49" s="553"/>
      <c r="C49" s="510" t="s">
        <v>166</v>
      </c>
      <c r="D49" s="36"/>
      <c r="E49" s="118">
        <v>0</v>
      </c>
      <c r="F49" s="161" t="s">
        <v>240</v>
      </c>
      <c r="H49" s="466"/>
      <c r="I49" s="467"/>
      <c r="J49" s="238"/>
      <c r="K49" s="241"/>
    </row>
    <row r="50" spans="1:12" ht="4.3499999999999996" customHeight="1">
      <c r="A50" s="19"/>
      <c r="B50" s="19"/>
      <c r="C50" s="19"/>
      <c r="E50" s="162"/>
      <c r="F50" s="162"/>
      <c r="J50" s="238"/>
      <c r="K50" s="241"/>
    </row>
    <row r="51" spans="1:12" ht="12.75" customHeight="1">
      <c r="B51" s="19" t="s">
        <v>45</v>
      </c>
      <c r="C51" s="1"/>
      <c r="D51" s="163"/>
      <c r="E51" s="165">
        <f>SUM(E43:E49)</f>
        <v>21</v>
      </c>
      <c r="F51" s="164"/>
      <c r="J51" s="238"/>
      <c r="K51" s="1"/>
    </row>
    <row r="52" spans="1:12" ht="12.95" customHeight="1">
      <c r="B52" s="19"/>
      <c r="C52" s="1"/>
      <c r="D52" s="164"/>
      <c r="E52" s="164"/>
      <c r="F52" s="164"/>
      <c r="J52" s="238"/>
      <c r="K52" s="1"/>
    </row>
    <row r="53" spans="1:12" ht="12.95" customHeight="1">
      <c r="A53" s="157" t="s">
        <v>15</v>
      </c>
      <c r="B53" s="157"/>
      <c r="C53" s="156"/>
      <c r="D53" s="156"/>
      <c r="E53" s="156"/>
      <c r="F53" s="156"/>
      <c r="I53" s="251"/>
      <c r="J53" s="1"/>
    </row>
    <row r="54" spans="1:12" ht="4.3499999999999996" customHeight="1">
      <c r="A54" s="157"/>
      <c r="B54" s="157"/>
      <c r="C54" s="157"/>
      <c r="D54" s="157"/>
      <c r="J54" s="1"/>
    </row>
    <row r="55" spans="1:12" ht="12.75" customHeight="1">
      <c r="A55" s="166" t="s">
        <v>11</v>
      </c>
      <c r="B55" s="166"/>
      <c r="C55" s="1"/>
      <c r="E55" s="195">
        <f>I37</f>
        <v>20930000</v>
      </c>
      <c r="I55" s="654" t="str">
        <f>IF(E55&lt;500000,"! gemäß BP.9 (3): Wenn die Bemessungsgrundlage niedriger ist als 500.000 €, sollte der Ermittlungsweg über Abschätzung des Büro- / Personalaufwandes gewählt werden","")</f>
        <v/>
      </c>
      <c r="J55" s="654"/>
    </row>
    <row r="56" spans="1:12" ht="4.3499999999999996" customHeight="1">
      <c r="A56" s="19"/>
      <c r="B56" s="19"/>
      <c r="C56" s="19"/>
      <c r="D56" s="19"/>
      <c r="E56" s="163"/>
      <c r="I56" s="654"/>
      <c r="J56" s="654"/>
    </row>
    <row r="57" spans="1:12" ht="13.5" customHeight="1">
      <c r="A57" s="24" t="s">
        <v>66</v>
      </c>
      <c r="B57" s="24"/>
      <c r="C57" s="24"/>
      <c r="E57" s="469">
        <f>0.021*E51+0.761</f>
        <v>1.2</v>
      </c>
      <c r="F57" s="121"/>
      <c r="I57" s="654"/>
      <c r="J57" s="654"/>
      <c r="K57" s="519"/>
      <c r="L57" s="37"/>
    </row>
    <row r="58" spans="1:12" ht="4.3499999999999996" customHeight="1">
      <c r="A58" s="19"/>
      <c r="B58" s="19"/>
      <c r="C58" s="19"/>
      <c r="E58" s="29"/>
      <c r="F58" s="121"/>
      <c r="I58" s="654"/>
      <c r="J58" s="654"/>
      <c r="K58" s="519"/>
      <c r="L58" s="37"/>
    </row>
    <row r="59" spans="1:12" s="110" customFormat="1" ht="18" customHeight="1">
      <c r="A59" s="19" t="s">
        <v>210</v>
      </c>
      <c r="B59" s="19"/>
      <c r="C59" s="19"/>
      <c r="E59" s="230">
        <f>ROUND(117.07*E55^(-0.41731)*E57/100,6)</f>
        <v>1.238E-3</v>
      </c>
      <c r="F59" s="554" t="s">
        <v>108</v>
      </c>
      <c r="I59" s="654"/>
      <c r="J59" s="654"/>
      <c r="K59" s="555"/>
      <c r="L59" s="359"/>
    </row>
    <row r="60" spans="1:12" ht="12.75" customHeight="1">
      <c r="A60" s="19" t="s">
        <v>137</v>
      </c>
      <c r="B60" s="19"/>
      <c r="C60" s="19"/>
      <c r="E60" s="257">
        <v>0</v>
      </c>
      <c r="F60" s="207"/>
      <c r="I60" s="654"/>
      <c r="J60" s="654"/>
      <c r="K60" s="519"/>
      <c r="L60" s="37"/>
    </row>
    <row r="61" spans="1:12" ht="4.3499999999999996" customHeight="1">
      <c r="A61" s="19"/>
      <c r="B61" s="19"/>
      <c r="C61" s="19"/>
      <c r="E61" s="167"/>
      <c r="F61" s="167"/>
      <c r="I61" s="654"/>
      <c r="J61" s="654"/>
    </row>
    <row r="62" spans="1:12" ht="15" customHeight="1">
      <c r="A62" s="22" t="s">
        <v>138</v>
      </c>
      <c r="B62" s="20"/>
      <c r="C62" s="20"/>
      <c r="D62" s="168"/>
      <c r="E62" s="169"/>
      <c r="F62" s="256">
        <f>E55*E59*(1+E60)</f>
        <v>25911</v>
      </c>
      <c r="J62" s="1"/>
    </row>
    <row r="63" spans="1:12" ht="4.3499999999999996" customHeight="1">
      <c r="A63" s="24"/>
      <c r="B63" s="19"/>
      <c r="C63" s="19"/>
      <c r="D63" s="156"/>
      <c r="E63" s="156"/>
      <c r="F63" s="156"/>
      <c r="G63" s="170"/>
      <c r="H63" s="170"/>
      <c r="J63" s="1"/>
    </row>
    <row r="64" spans="1:12" ht="12.95" customHeight="1">
      <c r="A64" s="24"/>
      <c r="B64" s="19"/>
      <c r="C64" s="19"/>
      <c r="D64" s="275" t="s">
        <v>147</v>
      </c>
      <c r="E64" s="270" t="s">
        <v>5</v>
      </c>
      <c r="F64" s="170"/>
      <c r="J64" s="30"/>
    </row>
    <row r="65" spans="1:14" ht="12.75" customHeight="1">
      <c r="A65" s="156" t="s">
        <v>98</v>
      </c>
      <c r="B65" s="156"/>
      <c r="C65" s="171"/>
      <c r="D65" s="271">
        <v>0.03</v>
      </c>
      <c r="E65" s="222">
        <v>0.03</v>
      </c>
      <c r="F65" s="231">
        <f t="shared" ref="F65:F74" si="1">$F$62*E65</f>
        <v>777</v>
      </c>
      <c r="J65"/>
    </row>
    <row r="66" spans="1:14" ht="12.75" customHeight="1">
      <c r="A66" s="156" t="s">
        <v>35</v>
      </c>
      <c r="B66" s="156"/>
      <c r="C66" s="171"/>
      <c r="D66" s="271">
        <v>0.17</v>
      </c>
      <c r="E66" s="223">
        <v>0.17</v>
      </c>
      <c r="F66" s="231">
        <f t="shared" si="1"/>
        <v>4405</v>
      </c>
      <c r="J66"/>
    </row>
    <row r="67" spans="1:14" ht="12.75" customHeight="1">
      <c r="A67" s="156" t="s">
        <v>36</v>
      </c>
      <c r="B67" s="156"/>
      <c r="C67" s="171"/>
      <c r="D67" s="271">
        <v>0.35</v>
      </c>
      <c r="E67" s="223">
        <v>0.35</v>
      </c>
      <c r="F67" s="231">
        <f t="shared" si="1"/>
        <v>9069</v>
      </c>
      <c r="J67"/>
    </row>
    <row r="68" spans="1:14" ht="12.75" customHeight="1">
      <c r="A68" s="156" t="s">
        <v>37</v>
      </c>
      <c r="B68" s="156"/>
      <c r="C68" s="171"/>
      <c r="D68" s="271">
        <v>0.05</v>
      </c>
      <c r="E68" s="223">
        <v>0.05</v>
      </c>
      <c r="F68" s="231">
        <f t="shared" si="1"/>
        <v>1296</v>
      </c>
      <c r="J68"/>
    </row>
    <row r="69" spans="1:14" ht="12.75" customHeight="1">
      <c r="A69" s="156" t="s">
        <v>67</v>
      </c>
      <c r="B69" s="156"/>
      <c r="C69" s="171"/>
      <c r="D69" s="271">
        <v>0.27</v>
      </c>
      <c r="E69" s="223">
        <v>0.27</v>
      </c>
      <c r="F69" s="231">
        <f t="shared" si="1"/>
        <v>6996</v>
      </c>
      <c r="J69"/>
    </row>
    <row r="70" spans="1:14" ht="12.75" customHeight="1">
      <c r="A70" s="156" t="s">
        <v>39</v>
      </c>
      <c r="B70" s="156"/>
      <c r="C70" s="171"/>
      <c r="D70" s="271">
        <v>0.02</v>
      </c>
      <c r="E70" s="223">
        <v>0.02</v>
      </c>
      <c r="F70" s="231">
        <f t="shared" si="1"/>
        <v>518</v>
      </c>
      <c r="J70"/>
    </row>
    <row r="71" spans="1:14" ht="12.75" customHeight="1">
      <c r="A71" s="156" t="s">
        <v>61</v>
      </c>
      <c r="B71" s="156"/>
      <c r="C71" s="171"/>
      <c r="D71" s="271">
        <v>0.02</v>
      </c>
      <c r="E71" s="223">
        <v>0.02</v>
      </c>
      <c r="F71" s="231">
        <f t="shared" si="1"/>
        <v>518</v>
      </c>
      <c r="J71"/>
    </row>
    <row r="72" spans="1:14" ht="12.75" customHeight="1">
      <c r="A72" s="156" t="s">
        <v>54</v>
      </c>
      <c r="B72" s="156"/>
      <c r="C72" s="171"/>
      <c r="D72" s="271">
        <v>0.09</v>
      </c>
      <c r="E72" s="223">
        <v>0.09</v>
      </c>
      <c r="F72" s="231">
        <f t="shared" si="1"/>
        <v>2332</v>
      </c>
      <c r="J72"/>
    </row>
    <row r="73" spans="1:14" ht="12.75" customHeight="1">
      <c r="A73" s="156" t="s">
        <v>68</v>
      </c>
      <c r="B73" s="156"/>
      <c r="C73" s="171"/>
      <c r="D73" s="271">
        <v>0</v>
      </c>
      <c r="E73" s="223">
        <v>0</v>
      </c>
      <c r="F73" s="231">
        <f t="shared" si="1"/>
        <v>0</v>
      </c>
      <c r="J73"/>
    </row>
    <row r="74" spans="1:14" ht="12.75" customHeight="1">
      <c r="A74" s="168" t="s">
        <v>55</v>
      </c>
      <c r="B74" s="168"/>
      <c r="C74" s="174"/>
      <c r="D74" s="272">
        <v>0</v>
      </c>
      <c r="E74" s="224">
        <v>0</v>
      </c>
      <c r="F74" s="232">
        <f t="shared" si="1"/>
        <v>0</v>
      </c>
      <c r="G74" s="45"/>
      <c r="H74" s="45"/>
      <c r="I74" s="45"/>
      <c r="J74"/>
    </row>
    <row r="75" spans="1:14" s="16" customFormat="1" ht="18.600000000000001" customHeight="1">
      <c r="A75" s="292" t="s">
        <v>44</v>
      </c>
      <c r="B75" s="417"/>
      <c r="C75" s="418"/>
      <c r="D75" s="621">
        <f>SUM(D65:D74)</f>
        <v>1</v>
      </c>
      <c r="E75" s="289">
        <f>SUM(E65:E74)</f>
        <v>1</v>
      </c>
      <c r="F75" s="288">
        <f>SUM(F65:F74)</f>
        <v>25911</v>
      </c>
      <c r="G75" s="8"/>
      <c r="I75" s="472"/>
      <c r="J75" s="17"/>
    </row>
    <row r="76" spans="1:14" ht="12.75" customHeight="1">
      <c r="A76" s="156" t="s">
        <v>211</v>
      </c>
      <c r="B76" s="156"/>
      <c r="C76" s="171"/>
      <c r="D76" s="271">
        <v>0.02</v>
      </c>
      <c r="E76" s="471">
        <v>0</v>
      </c>
      <c r="F76" s="177">
        <f>$F$62*E76</f>
        <v>0</v>
      </c>
      <c r="J76"/>
      <c r="K76" s="1"/>
    </row>
    <row r="77" spans="1:14" ht="12.75" customHeight="1">
      <c r="A77" s="156" t="s">
        <v>256</v>
      </c>
      <c r="B77" s="168"/>
      <c r="C77" s="174"/>
      <c r="D77" s="272">
        <v>0.02</v>
      </c>
      <c r="E77" s="224">
        <v>0</v>
      </c>
      <c r="F77" s="178">
        <f>$F$62*E77</f>
        <v>0</v>
      </c>
      <c r="G77" s="45"/>
      <c r="H77" s="45"/>
      <c r="I77" s="45"/>
      <c r="J77"/>
      <c r="K77" s="1"/>
    </row>
    <row r="78" spans="1:14" ht="12.75" customHeight="1">
      <c r="A78" s="644" t="s">
        <v>251</v>
      </c>
      <c r="B78" s="644"/>
      <c r="C78" s="644"/>
      <c r="D78" s="622">
        <f>SUM(D75:D77)</f>
        <v>1.04</v>
      </c>
      <c r="E78" s="225">
        <f>SUM(E76:E77)+E75</f>
        <v>1</v>
      </c>
      <c r="F78" s="233">
        <f>ROUND(SUM(F76:F77),2)+F75</f>
        <v>25911</v>
      </c>
      <c r="G78" s="8"/>
      <c r="H78" s="8"/>
      <c r="I78" s="99">
        <f>F78</f>
        <v>25911</v>
      </c>
      <c r="J78" s="1"/>
    </row>
    <row r="79" spans="1:14" ht="12.75" customHeight="1">
      <c r="E79" s="108"/>
      <c r="G79" s="8"/>
      <c r="H79" s="8"/>
      <c r="I79"/>
      <c r="J79" s="1"/>
    </row>
    <row r="80" spans="1:14" ht="12.75" customHeight="1">
      <c r="A80" s="33" t="s">
        <v>123</v>
      </c>
      <c r="E80" s="228">
        <v>0</v>
      </c>
      <c r="F80" s="229">
        <v>0</v>
      </c>
      <c r="G80" s="8"/>
      <c r="H80" s="8"/>
      <c r="I80" s="476">
        <f>E80*F80</f>
        <v>0</v>
      </c>
      <c r="J80" s="1"/>
      <c r="L80"/>
      <c r="M80"/>
      <c r="N80"/>
    </row>
    <row r="81" spans="1:10" ht="12.75" customHeight="1">
      <c r="E81" s="108"/>
      <c r="G81" s="8"/>
      <c r="H81" s="8"/>
      <c r="I81"/>
      <c r="J81" s="1"/>
    </row>
    <row r="82" spans="1:10" s="24" customFormat="1" ht="12.75">
      <c r="A82" s="94" t="s">
        <v>120</v>
      </c>
      <c r="B82" s="95"/>
      <c r="C82" s="96"/>
      <c r="D82" s="96"/>
      <c r="E82" s="109"/>
      <c r="F82" s="97"/>
      <c r="G82" s="97"/>
      <c r="H82" s="97"/>
      <c r="I82" s="99">
        <f>I78+I80</f>
        <v>25911</v>
      </c>
    </row>
    <row r="83" spans="1:10" s="24" customFormat="1" ht="4.5" customHeight="1">
      <c r="B83" s="25"/>
      <c r="C83" s="26"/>
      <c r="D83" s="26"/>
      <c r="E83" s="217"/>
      <c r="F83" s="48"/>
      <c r="I83" s="91"/>
    </row>
    <row r="84" spans="1:10" s="24" customFormat="1" ht="12.75">
      <c r="A84" s="49" t="s">
        <v>13</v>
      </c>
      <c r="B84" s="25"/>
      <c r="C84" s="26"/>
      <c r="D84" s="26"/>
      <c r="E84" s="218">
        <v>0.04</v>
      </c>
      <c r="F84" s="48"/>
      <c r="I84" s="91">
        <f>ROUND(I82*E84,2)</f>
        <v>1036</v>
      </c>
    </row>
    <row r="85" spans="1:10" s="24" customFormat="1" ht="3" customHeight="1">
      <c r="A85" s="50"/>
      <c r="B85" s="51"/>
      <c r="C85" s="52"/>
      <c r="D85" s="52"/>
      <c r="E85" s="219"/>
      <c r="F85" s="57"/>
      <c r="G85" s="50"/>
      <c r="H85" s="50"/>
      <c r="I85" s="93"/>
    </row>
    <row r="86" spans="1:10" s="24" customFormat="1" ht="3" customHeight="1">
      <c r="B86" s="25"/>
      <c r="C86" s="26"/>
      <c r="D86" s="26"/>
      <c r="E86" s="220"/>
      <c r="F86" s="65"/>
      <c r="G86" s="59"/>
      <c r="H86" s="59"/>
      <c r="I86" s="91"/>
    </row>
    <row r="87" spans="1:10" s="24" customFormat="1" ht="12.75">
      <c r="A87" s="53" t="s">
        <v>212</v>
      </c>
      <c r="B87" s="54"/>
      <c r="C87" s="55"/>
      <c r="D87" s="55"/>
      <c r="E87" s="217"/>
      <c r="F87" s="48"/>
      <c r="I87" s="92">
        <f>I82+I84</f>
        <v>26947</v>
      </c>
    </row>
    <row r="88" spans="1:10" s="24" customFormat="1" ht="12.75">
      <c r="A88" s="24" t="s">
        <v>14</v>
      </c>
      <c r="B88" s="25"/>
      <c r="D88" s="26"/>
      <c r="E88" s="28">
        <v>0.2</v>
      </c>
      <c r="F88" s="28"/>
      <c r="I88" s="91">
        <f>ROUND(I87*E88,2)</f>
        <v>5389</v>
      </c>
    </row>
    <row r="89" spans="1:10" s="24" customFormat="1" ht="3" customHeight="1">
      <c r="B89" s="25"/>
      <c r="C89" s="26"/>
      <c r="D89" s="26"/>
      <c r="E89" s="48"/>
      <c r="F89" s="48"/>
      <c r="I89" s="91"/>
    </row>
    <row r="90" spans="1:10" s="24" customFormat="1" ht="12.75">
      <c r="A90" s="184" t="s">
        <v>213</v>
      </c>
      <c r="B90" s="196"/>
      <c r="C90" s="185"/>
      <c r="D90" s="185"/>
      <c r="E90" s="188"/>
      <c r="F90" s="188"/>
      <c r="G90" s="186"/>
      <c r="H90" s="186"/>
      <c r="I90" s="189">
        <f>SUM(I86:I88)</f>
        <v>32336</v>
      </c>
    </row>
    <row r="91" spans="1:10" ht="5.0999999999999996" customHeight="1"/>
    <row r="92" spans="1:10" ht="12.75">
      <c r="A92" s="198" t="s">
        <v>106</v>
      </c>
      <c r="E92" s="255">
        <f>I87/E33</f>
        <v>9.4700000000000003E-4</v>
      </c>
    </row>
  </sheetData>
  <sheetProtection algorithmName="SHA-512" hashValue="SMgNBrZ7RrMoxSo0QD2+p5CxEbVz0k5dmyh8TMzRGhiZCzkF9YCyMV7qRTXX4vhTy4fPpINahCQN/11zaRGmyA==" saltValue="L8DYnQCsQrTEDXyuhlUhyQ==" spinCount="100000" sheet="1" objects="1" scenarios="1"/>
  <mergeCells count="14">
    <mergeCell ref="A78:C78"/>
    <mergeCell ref="A7:B7"/>
    <mergeCell ref="A9:B9"/>
    <mergeCell ref="A11:B11"/>
    <mergeCell ref="H2:I2"/>
    <mergeCell ref="I55:J61"/>
    <mergeCell ref="A21:B21"/>
    <mergeCell ref="A23:B23"/>
    <mergeCell ref="A25:B25"/>
    <mergeCell ref="A27:B27"/>
    <mergeCell ref="A29:B29"/>
    <mergeCell ref="A31:B31"/>
    <mergeCell ref="A35:B35"/>
    <mergeCell ref="H42:I42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&amp;L&amp;"Arial,Fett"&amp;K01+030Angebot Bauphysik &amp;A
&amp;"Arial,Standard"nach VM.BP.2023&amp;R&amp;"Arial,Standard"&amp;K01+031Version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Scroll Bar 1">
              <controlPr locked="0" defaultSize="0" autoPict="0">
                <anchor moveWithCells="1">
                  <from>
                    <xdr:col>7</xdr:col>
                    <xdr:colOff>28575</xdr:colOff>
                    <xdr:row>42</xdr:row>
                    <xdr:rowOff>19050</xdr:rowOff>
                  </from>
                  <to>
                    <xdr:col>8</xdr:col>
                    <xdr:colOff>1019175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Scroll Bar 2">
              <controlPr locked="0" defaultSize="0" autoPict="0">
                <anchor moveWithCells="1">
                  <from>
                    <xdr:col>7</xdr:col>
                    <xdr:colOff>28575</xdr:colOff>
                    <xdr:row>43</xdr:row>
                    <xdr:rowOff>19050</xdr:rowOff>
                  </from>
                  <to>
                    <xdr:col>8</xdr:col>
                    <xdr:colOff>1019175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Scroll Bar 3">
              <controlPr locked="0" defaultSize="0" autoPict="0">
                <anchor moveWithCells="1">
                  <from>
                    <xdr:col>7</xdr:col>
                    <xdr:colOff>28575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Scroll Bar 4">
              <controlPr locked="0" defaultSize="0" autoPict="0">
                <anchor moveWithCells="1">
                  <from>
                    <xdr:col>7</xdr:col>
                    <xdr:colOff>28575</xdr:colOff>
                    <xdr:row>45</xdr:row>
                    <xdr:rowOff>28575</xdr:rowOff>
                  </from>
                  <to>
                    <xdr:col>8</xdr:col>
                    <xdr:colOff>1019175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4360F-C6BC-4F21-A77A-24C116A5F18A}">
  <sheetPr>
    <tabColor theme="6"/>
  </sheetPr>
  <dimension ref="A1:N92"/>
  <sheetViews>
    <sheetView showGridLines="0" zoomScaleNormal="100" zoomScaleSheetLayoutView="85" zoomScalePageLayoutView="85" workbookViewId="0">
      <selection activeCell="E51" sqref="E51"/>
    </sheetView>
  </sheetViews>
  <sheetFormatPr baseColWidth="10" defaultColWidth="11.5703125" defaultRowHeight="12"/>
  <cols>
    <col min="1" max="1" width="1.5703125" style="1" customWidth="1"/>
    <col min="2" max="2" width="3.28515625" style="7" customWidth="1"/>
    <col min="3" max="3" width="38.7109375" style="7" customWidth="1"/>
    <col min="4" max="4" width="8.140625" style="1" customWidth="1"/>
    <col min="5" max="5" width="14.7109375" style="1" customWidth="1"/>
    <col min="6" max="6" width="15.7109375" style="1" customWidth="1"/>
    <col min="7" max="7" width="8.28515625" style="1" customWidth="1"/>
    <col min="8" max="8" width="14.7109375" style="1" customWidth="1"/>
    <col min="9" max="9" width="15.7109375" style="8" customWidth="1" collapsed="1"/>
    <col min="10" max="10" width="15.7109375" style="9" customWidth="1"/>
    <col min="11" max="11" width="2.7109375" style="9" customWidth="1"/>
    <col min="12" max="16384" width="11.5703125" style="1"/>
  </cols>
  <sheetData>
    <row r="1" spans="1:11" ht="5.0999999999999996" customHeight="1"/>
    <row r="2" spans="1:11" s="37" customFormat="1" ht="35.1" customHeight="1">
      <c r="A2" s="107" t="s">
        <v>107</v>
      </c>
      <c r="C2" s="7"/>
      <c r="G2" s="38"/>
      <c r="H2" s="648" t="s">
        <v>254</v>
      </c>
      <c r="I2" s="648"/>
      <c r="J2" s="550"/>
      <c r="K2" s="43"/>
    </row>
    <row r="3" spans="1:11" s="10" customFormat="1" ht="6" customHeight="1">
      <c r="A3" s="73"/>
      <c r="B3" s="73"/>
      <c r="C3" s="73"/>
      <c r="D3" s="73"/>
      <c r="E3" s="73"/>
      <c r="F3" s="73"/>
      <c r="G3" s="73"/>
      <c r="H3" s="73"/>
      <c r="I3" s="73"/>
      <c r="J3" s="2"/>
      <c r="K3" s="2"/>
    </row>
    <row r="4" spans="1:11" s="10" customFormat="1" ht="6" customHeight="1">
      <c r="J4" s="2"/>
      <c r="K4" s="2"/>
    </row>
    <row r="5" spans="1:11" s="10" customFormat="1" ht="12.95" customHeight="1">
      <c r="D5" s="69" t="s">
        <v>77</v>
      </c>
      <c r="E5" s="31" t="s">
        <v>50</v>
      </c>
      <c r="G5" s="31"/>
      <c r="H5" s="12" t="s">
        <v>16</v>
      </c>
      <c r="I5" s="89" t="s">
        <v>51</v>
      </c>
      <c r="K5" s="31"/>
    </row>
    <row r="6" spans="1:11" s="10" customFormat="1" ht="6" customHeight="1">
      <c r="E6" s="67"/>
      <c r="I6" s="2"/>
      <c r="K6" s="2"/>
    </row>
    <row r="7" spans="1:11" s="11" customFormat="1" ht="12.95" customHeight="1">
      <c r="A7" s="645">
        <v>1</v>
      </c>
      <c r="B7" s="645"/>
      <c r="C7" s="76" t="s">
        <v>0</v>
      </c>
      <c r="D7" s="135">
        <f>E7/$E$33</f>
        <v>1E-3</v>
      </c>
      <c r="E7" s="479">
        <f>_1</f>
        <v>15000</v>
      </c>
      <c r="F7" s="72"/>
      <c r="G7" s="72"/>
      <c r="H7" s="520">
        <v>0</v>
      </c>
      <c r="I7" s="147">
        <f>E7*H7</f>
        <v>0</v>
      </c>
      <c r="K7" s="34"/>
    </row>
    <row r="8" spans="1:11" ht="6.95" customHeight="1">
      <c r="B8" s="4"/>
      <c r="C8" s="1"/>
      <c r="D8" s="136"/>
      <c r="E8" s="44"/>
      <c r="H8" s="521"/>
      <c r="I8" s="124"/>
      <c r="K8" s="44"/>
    </row>
    <row r="9" spans="1:11" s="11" customFormat="1" ht="12.95" customHeight="1">
      <c r="A9" s="645">
        <v>2</v>
      </c>
      <c r="B9" s="645"/>
      <c r="C9" s="76" t="s">
        <v>1</v>
      </c>
      <c r="D9" s="135">
        <f>E9/$E$33</f>
        <v>0.316</v>
      </c>
      <c r="E9" s="479">
        <f>_2</f>
        <v>9000000</v>
      </c>
      <c r="F9" s="72"/>
      <c r="G9" s="72"/>
      <c r="H9" s="522">
        <v>1</v>
      </c>
      <c r="I9" s="147">
        <f>E9*H9</f>
        <v>9000000</v>
      </c>
      <c r="K9" s="34"/>
    </row>
    <row r="10" spans="1:11" ht="6.95" customHeight="1">
      <c r="C10" s="1"/>
      <c r="D10" s="136"/>
      <c r="E10" s="518"/>
      <c r="H10" s="521"/>
      <c r="I10" s="123"/>
      <c r="K10" s="34"/>
    </row>
    <row r="11" spans="1:11" s="10" customFormat="1" ht="12.95" customHeight="1">
      <c r="A11" s="645">
        <v>3</v>
      </c>
      <c r="B11" s="645"/>
      <c r="C11" s="76" t="s">
        <v>7</v>
      </c>
      <c r="D11" s="135">
        <f>E11/$E$33</f>
        <v>0.19900000000000001</v>
      </c>
      <c r="E11" s="502">
        <f>_3</f>
        <v>5650000</v>
      </c>
      <c r="F11" s="72"/>
      <c r="G11" s="72"/>
      <c r="H11" s="521"/>
      <c r="I11" s="123"/>
      <c r="K11" s="34"/>
    </row>
    <row r="12" spans="1:11" ht="12.95" customHeight="1">
      <c r="A12" s="368">
        <v>3</v>
      </c>
      <c r="B12" s="79" t="s">
        <v>17</v>
      </c>
      <c r="C12" s="80" t="s">
        <v>18</v>
      </c>
      <c r="D12" s="137"/>
      <c r="E12" s="516">
        <f>_3.01</f>
        <v>900000</v>
      </c>
      <c r="F12" s="72"/>
      <c r="G12" s="72"/>
      <c r="H12" s="522">
        <v>1</v>
      </c>
      <c r="I12" s="148">
        <f t="shared" ref="I12:I19" si="0">E12*H12</f>
        <v>900000</v>
      </c>
      <c r="K12" s="34"/>
    </row>
    <row r="13" spans="1:11" ht="12.95" customHeight="1">
      <c r="A13" s="368">
        <v>3</v>
      </c>
      <c r="B13" s="83" t="s">
        <v>19</v>
      </c>
      <c r="C13" s="84" t="s">
        <v>26</v>
      </c>
      <c r="D13" s="138"/>
      <c r="E13" s="504">
        <f>_3.02</f>
        <v>1200000</v>
      </c>
      <c r="F13" s="72"/>
      <c r="G13" s="72"/>
      <c r="H13" s="522">
        <v>1</v>
      </c>
      <c r="I13" s="208">
        <f t="shared" si="0"/>
        <v>1200000</v>
      </c>
      <c r="K13" s="34"/>
    </row>
    <row r="14" spans="1:11" ht="12.95" customHeight="1">
      <c r="A14" s="368">
        <v>3</v>
      </c>
      <c r="B14" s="83" t="s">
        <v>20</v>
      </c>
      <c r="C14" s="84" t="s">
        <v>27</v>
      </c>
      <c r="D14" s="138"/>
      <c r="E14" s="517">
        <f>_3.03</f>
        <v>1000000</v>
      </c>
      <c r="F14" s="72"/>
      <c r="G14" s="72"/>
      <c r="H14" s="522">
        <v>1</v>
      </c>
      <c r="I14" s="208">
        <f t="shared" si="0"/>
        <v>1000000</v>
      </c>
      <c r="K14" s="34"/>
    </row>
    <row r="15" spans="1:11" ht="12.95" customHeight="1">
      <c r="A15" s="368">
        <v>3</v>
      </c>
      <c r="B15" s="83" t="s">
        <v>21</v>
      </c>
      <c r="C15" s="84" t="s">
        <v>28</v>
      </c>
      <c r="D15" s="138"/>
      <c r="E15" s="517">
        <f>_3.04</f>
        <v>1500000</v>
      </c>
      <c r="F15" s="72"/>
      <c r="G15" s="72"/>
      <c r="H15" s="522">
        <v>1</v>
      </c>
      <c r="I15" s="208">
        <f t="shared" si="0"/>
        <v>1500000</v>
      </c>
      <c r="K15" s="34"/>
    </row>
    <row r="16" spans="1:11" ht="12.95" customHeight="1">
      <c r="A16" s="368">
        <v>3</v>
      </c>
      <c r="B16" s="83" t="s">
        <v>22</v>
      </c>
      <c r="C16" s="84" t="s">
        <v>31</v>
      </c>
      <c r="D16" s="138"/>
      <c r="E16" s="517">
        <f>_3.05</f>
        <v>600000</v>
      </c>
      <c r="F16" s="72"/>
      <c r="G16" s="72"/>
      <c r="H16" s="522">
        <v>1</v>
      </c>
      <c r="I16" s="208">
        <f t="shared" si="0"/>
        <v>600000</v>
      </c>
      <c r="K16" s="34"/>
    </row>
    <row r="17" spans="1:11" ht="12.95" customHeight="1">
      <c r="A17" s="368">
        <v>3</v>
      </c>
      <c r="B17" s="83" t="s">
        <v>23</v>
      </c>
      <c r="C17" s="84" t="s">
        <v>29</v>
      </c>
      <c r="D17" s="138"/>
      <c r="E17" s="517">
        <f>_3.06</f>
        <v>150000</v>
      </c>
      <c r="F17" s="72"/>
      <c r="G17" s="72"/>
      <c r="H17" s="522">
        <v>1</v>
      </c>
      <c r="I17" s="208">
        <f t="shared" si="0"/>
        <v>150000</v>
      </c>
      <c r="K17" s="34"/>
    </row>
    <row r="18" spans="1:11" ht="12.95" customHeight="1">
      <c r="A18" s="368">
        <v>3</v>
      </c>
      <c r="B18" s="83" t="s">
        <v>24</v>
      </c>
      <c r="C18" s="84" t="s">
        <v>30</v>
      </c>
      <c r="D18" s="138"/>
      <c r="E18" s="517">
        <f>_3.07</f>
        <v>0</v>
      </c>
      <c r="F18" s="72"/>
      <c r="G18" s="72"/>
      <c r="H18" s="522">
        <v>0</v>
      </c>
      <c r="I18" s="208">
        <f t="shared" si="0"/>
        <v>0</v>
      </c>
      <c r="K18" s="34"/>
    </row>
    <row r="19" spans="1:11" ht="12.95" customHeight="1">
      <c r="A19" s="368">
        <v>3</v>
      </c>
      <c r="B19" s="83" t="s">
        <v>25</v>
      </c>
      <c r="C19" s="84" t="s">
        <v>8</v>
      </c>
      <c r="D19" s="138"/>
      <c r="E19" s="517">
        <f>_3.08</f>
        <v>300000</v>
      </c>
      <c r="F19" s="72"/>
      <c r="G19" s="72"/>
      <c r="H19" s="522">
        <v>1</v>
      </c>
      <c r="I19" s="209">
        <f t="shared" si="0"/>
        <v>300000</v>
      </c>
      <c r="K19" s="34"/>
    </row>
    <row r="20" spans="1:11" ht="6.95" customHeight="1">
      <c r="C20" s="1"/>
      <c r="D20" s="136"/>
      <c r="E20" s="34"/>
      <c r="H20" s="523"/>
      <c r="I20" s="123"/>
      <c r="K20" s="151"/>
    </row>
    <row r="21" spans="1:11" s="10" customFormat="1" ht="12.75" customHeight="1">
      <c r="A21" s="645">
        <v>4</v>
      </c>
      <c r="B21" s="645"/>
      <c r="C21" s="76" t="s">
        <v>2</v>
      </c>
      <c r="D21" s="135">
        <f>E21/$E$33</f>
        <v>0.21099999999999999</v>
      </c>
      <c r="E21" s="479">
        <f>_4</f>
        <v>6000000</v>
      </c>
      <c r="F21" s="72"/>
      <c r="G21" s="72"/>
      <c r="H21" s="522">
        <v>1</v>
      </c>
      <c r="I21" s="147">
        <f>E21*H21</f>
        <v>6000000</v>
      </c>
      <c r="K21" s="34"/>
    </row>
    <row r="22" spans="1:11" ht="6.95" customHeight="1">
      <c r="B22" s="4"/>
      <c r="C22" s="1"/>
      <c r="D22" s="136"/>
      <c r="E22" s="34"/>
      <c r="H22" s="521"/>
      <c r="I22" s="123"/>
      <c r="K22" s="33"/>
    </row>
    <row r="23" spans="1:11" s="11" customFormat="1" ht="12.95" customHeight="1">
      <c r="A23" s="645">
        <v>5</v>
      </c>
      <c r="B23" s="645"/>
      <c r="C23" s="76" t="s">
        <v>9</v>
      </c>
      <c r="D23" s="135">
        <f>E23/$E$33</f>
        <v>5.8000000000000003E-2</v>
      </c>
      <c r="E23" s="503">
        <f>_5</f>
        <v>1650000</v>
      </c>
      <c r="F23" s="72"/>
      <c r="G23" s="72"/>
      <c r="H23" s="522">
        <v>0</v>
      </c>
      <c r="I23" s="147">
        <f>E23*H23</f>
        <v>0</v>
      </c>
      <c r="K23" s="34"/>
    </row>
    <row r="24" spans="1:11" ht="6.95" customHeight="1">
      <c r="C24" s="1"/>
      <c r="D24" s="136"/>
      <c r="E24" s="34"/>
      <c r="H24" s="521"/>
      <c r="I24" s="123"/>
      <c r="K24" s="34"/>
    </row>
    <row r="25" spans="1:11" s="10" customFormat="1" ht="12.95" customHeight="1">
      <c r="A25" s="645">
        <v>6</v>
      </c>
      <c r="B25" s="645"/>
      <c r="C25" s="76" t="s">
        <v>3</v>
      </c>
      <c r="D25" s="135">
        <f>E25/$E$33</f>
        <v>1.7999999999999999E-2</v>
      </c>
      <c r="E25" s="479">
        <f>_6</f>
        <v>500000</v>
      </c>
      <c r="F25" s="72"/>
      <c r="G25" s="72"/>
      <c r="H25" s="522">
        <v>0</v>
      </c>
      <c r="I25" s="147">
        <f>E25*H25</f>
        <v>0</v>
      </c>
      <c r="K25" s="34"/>
    </row>
    <row r="26" spans="1:11" ht="6.95" customHeight="1">
      <c r="B26" s="13"/>
      <c r="C26" s="1"/>
      <c r="D26" s="139"/>
      <c r="E26" s="34"/>
      <c r="H26" s="521"/>
      <c r="I26" s="123"/>
      <c r="K26" s="34"/>
    </row>
    <row r="27" spans="1:11" s="11" customFormat="1" ht="12.95" customHeight="1">
      <c r="A27" s="645">
        <v>7</v>
      </c>
      <c r="B27" s="645"/>
      <c r="C27" s="76" t="s">
        <v>113</v>
      </c>
      <c r="D27" s="135">
        <f>E27/$E$33</f>
        <v>0.14099999999999999</v>
      </c>
      <c r="E27" s="479">
        <f>_7</f>
        <v>4000000</v>
      </c>
      <c r="F27" s="72"/>
      <c r="G27" s="72"/>
      <c r="H27" s="522">
        <v>0</v>
      </c>
      <c r="I27" s="147">
        <f>E27*H27</f>
        <v>0</v>
      </c>
      <c r="K27" s="34"/>
    </row>
    <row r="28" spans="1:11" ht="6.95" customHeight="1">
      <c r="C28" s="1"/>
      <c r="D28" s="139"/>
      <c r="E28" s="34"/>
      <c r="H28" s="521"/>
      <c r="I28" s="123"/>
      <c r="K28" s="34"/>
    </row>
    <row r="29" spans="1:11" s="11" customFormat="1" ht="12.95" customHeight="1">
      <c r="A29" s="645">
        <v>8</v>
      </c>
      <c r="B29" s="645"/>
      <c r="C29" s="76" t="s">
        <v>105</v>
      </c>
      <c r="D29" s="135">
        <f>E29/$E$33</f>
        <v>1E-3</v>
      </c>
      <c r="E29" s="479">
        <f>_8</f>
        <v>36000</v>
      </c>
      <c r="F29" s="72"/>
      <c r="G29" s="72"/>
      <c r="H29" s="522">
        <v>0</v>
      </c>
      <c r="I29" s="147">
        <f>E29*H29</f>
        <v>0</v>
      </c>
      <c r="K29" s="34"/>
    </row>
    <row r="30" spans="1:11" ht="6.95" customHeight="1">
      <c r="C30" s="1"/>
      <c r="D30" s="139"/>
      <c r="E30" s="34"/>
      <c r="H30" s="523"/>
      <c r="I30" s="123"/>
      <c r="K30" s="151"/>
    </row>
    <row r="31" spans="1:11" s="11" customFormat="1" ht="12.95" customHeight="1">
      <c r="A31" s="645">
        <v>9</v>
      </c>
      <c r="B31" s="645"/>
      <c r="C31" s="76" t="s">
        <v>10</v>
      </c>
      <c r="D31" s="135">
        <f>E31/$E$33</f>
        <v>5.6000000000000001E-2</v>
      </c>
      <c r="E31" s="479">
        <f>_9</f>
        <v>1600000</v>
      </c>
      <c r="F31" s="72"/>
      <c r="G31" s="72"/>
      <c r="H31" s="522">
        <v>0.1</v>
      </c>
      <c r="I31" s="147">
        <f>E31*H31</f>
        <v>160000</v>
      </c>
      <c r="K31" s="34"/>
    </row>
    <row r="32" spans="1:11" ht="12" customHeight="1">
      <c r="B32" s="13"/>
      <c r="C32" s="5"/>
      <c r="D32" s="32"/>
      <c r="E32" s="23"/>
      <c r="I32" s="1"/>
      <c r="K32" s="1"/>
    </row>
    <row r="33" spans="1:12" ht="12.95" customHeight="1">
      <c r="A33" s="113" t="s">
        <v>12</v>
      </c>
      <c r="B33" s="114"/>
      <c r="C33" s="114"/>
      <c r="D33" s="115">
        <f>SUM(D7:D31)</f>
        <v>1</v>
      </c>
      <c r="E33" s="486">
        <f>_EK</f>
        <v>28451000</v>
      </c>
      <c r="F33" s="64"/>
      <c r="G33" s="64"/>
      <c r="H33" s="176"/>
      <c r="I33" s="23"/>
      <c r="K33" s="23"/>
    </row>
    <row r="34" spans="1:12" ht="12.95" customHeight="1">
      <c r="B34" s="248"/>
      <c r="D34" s="32"/>
      <c r="E34" s="23"/>
      <c r="F34" s="9"/>
      <c r="G34" s="9"/>
      <c r="I34" s="1"/>
      <c r="K34" s="23"/>
    </row>
    <row r="35" spans="1:12" ht="12.95" customHeight="1">
      <c r="A35" s="645"/>
      <c r="B35" s="645"/>
      <c r="C35" s="75" t="s">
        <v>130</v>
      </c>
      <c r="D35" s="135"/>
      <c r="E35" s="479">
        <f>_mvB</f>
        <v>120000</v>
      </c>
      <c r="F35" s="72"/>
      <c r="G35" s="72"/>
      <c r="H35" s="105">
        <v>1</v>
      </c>
      <c r="I35" s="147">
        <f>E35*H35</f>
        <v>120000</v>
      </c>
      <c r="K35" s="23"/>
    </row>
    <row r="36" spans="1:12" ht="6" customHeight="1">
      <c r="F36" s="32"/>
      <c r="H36" s="8"/>
      <c r="I36" s="9"/>
    </row>
    <row r="37" spans="1:12" s="14" customFormat="1" ht="12.95" customHeight="1">
      <c r="A37" s="191" t="s">
        <v>32</v>
      </c>
      <c r="B37" s="192"/>
      <c r="C37" s="192"/>
      <c r="D37" s="192"/>
      <c r="E37" s="203"/>
      <c r="F37" s="203"/>
      <c r="G37" s="203"/>
      <c r="H37" s="204"/>
      <c r="I37" s="205">
        <f>SUM(I7:I35)</f>
        <v>20930000</v>
      </c>
      <c r="K37" s="602"/>
    </row>
    <row r="38" spans="1:12" s="16" customFormat="1" ht="12.95" customHeight="1">
      <c r="B38" s="18"/>
      <c r="C38" s="18"/>
      <c r="I38" s="153"/>
      <c r="J38" s="153"/>
      <c r="K38" s="153"/>
    </row>
    <row r="39" spans="1:12" ht="12.75" customHeight="1">
      <c r="A39" s="154" t="s">
        <v>156</v>
      </c>
      <c r="B39" s="154"/>
      <c r="C39" s="154"/>
      <c r="D39" s="155"/>
      <c r="E39" s="155"/>
      <c r="F39" s="155"/>
      <c r="G39" s="155"/>
      <c r="H39" s="155"/>
      <c r="I39" s="154"/>
      <c r="J39" s="551"/>
      <c r="K39" s="157"/>
    </row>
    <row r="40" spans="1:12" ht="6.75" customHeight="1">
      <c r="A40" s="156"/>
      <c r="B40" s="156"/>
      <c r="C40" s="156"/>
      <c r="D40" s="156"/>
      <c r="E40" s="156"/>
      <c r="F40" s="156"/>
      <c r="G40" s="156"/>
      <c r="H40" s="156"/>
      <c r="J40" s="177"/>
    </row>
    <row r="41" spans="1:12" ht="12.75" customHeight="1">
      <c r="A41" s="157" t="s">
        <v>78</v>
      </c>
      <c r="B41" s="156"/>
      <c r="C41" s="156"/>
      <c r="D41" s="156"/>
      <c r="E41" s="156"/>
      <c r="F41" s="156"/>
      <c r="G41" s="156"/>
      <c r="H41" s="156"/>
      <c r="I41" s="156"/>
      <c r="J41" s="177"/>
    </row>
    <row r="42" spans="1:12" ht="12.75" customHeight="1">
      <c r="A42" s="19"/>
      <c r="B42" s="19"/>
      <c r="C42" s="19"/>
      <c r="E42" s="158" t="s">
        <v>5</v>
      </c>
      <c r="F42" s="159" t="s">
        <v>4</v>
      </c>
      <c r="H42" s="646" t="s">
        <v>168</v>
      </c>
      <c r="I42" s="646"/>
      <c r="J42" s="238"/>
      <c r="K42" s="241"/>
    </row>
    <row r="43" spans="1:12" ht="12.75" customHeight="1">
      <c r="B43" s="20" t="s">
        <v>46</v>
      </c>
      <c r="C43" s="41"/>
      <c r="D43" s="35"/>
      <c r="E43" s="117">
        <v>25</v>
      </c>
      <c r="F43" s="160" t="s">
        <v>58</v>
      </c>
      <c r="H43" s="462"/>
      <c r="I43" s="463"/>
      <c r="K43" s="241"/>
    </row>
    <row r="44" spans="1:12" ht="12.75" customHeight="1">
      <c r="B44" s="21" t="s">
        <v>47</v>
      </c>
      <c r="C44" s="42"/>
      <c r="D44" s="36"/>
      <c r="E44" s="118">
        <v>1</v>
      </c>
      <c r="F44" s="161" t="s">
        <v>6</v>
      </c>
      <c r="H44" s="464"/>
      <c r="I44" s="465"/>
      <c r="K44" s="241"/>
      <c r="L44" s="628"/>
    </row>
    <row r="45" spans="1:12" ht="12.75" customHeight="1">
      <c r="B45" s="21" t="s">
        <v>48</v>
      </c>
      <c r="C45" s="42"/>
      <c r="D45" s="36"/>
      <c r="E45" s="118">
        <v>1</v>
      </c>
      <c r="F45" s="161" t="s">
        <v>6</v>
      </c>
      <c r="H45" s="464"/>
      <c r="I45" s="465"/>
      <c r="K45" s="241"/>
    </row>
    <row r="46" spans="1:12" ht="12.75" customHeight="1">
      <c r="B46" s="21" t="s">
        <v>49</v>
      </c>
      <c r="C46" s="36"/>
      <c r="D46" s="36"/>
      <c r="E46" s="118">
        <v>1</v>
      </c>
      <c r="F46" s="161" t="s">
        <v>6</v>
      </c>
      <c r="H46" s="466"/>
      <c r="I46" s="467"/>
      <c r="K46" s="241"/>
    </row>
    <row r="47" spans="1:12" ht="4.5" customHeight="1">
      <c r="A47" s="19"/>
      <c r="B47" s="19"/>
      <c r="C47" s="19"/>
      <c r="E47" s="162"/>
      <c r="F47" s="162"/>
      <c r="H47" s="465"/>
      <c r="I47" s="465"/>
      <c r="J47" s="238"/>
      <c r="K47" s="241"/>
    </row>
    <row r="48" spans="1:12" ht="12.75" customHeight="1">
      <c r="A48" s="19"/>
      <c r="B48" s="553"/>
      <c r="C48" s="510" t="s">
        <v>204</v>
      </c>
      <c r="D48" s="36"/>
      <c r="E48" s="118">
        <v>0</v>
      </c>
      <c r="F48" s="161" t="s">
        <v>239</v>
      </c>
      <c r="H48" s="464"/>
      <c r="I48" s="465"/>
      <c r="J48" s="238"/>
      <c r="K48" s="241"/>
    </row>
    <row r="49" spans="1:11" ht="12.75" customHeight="1">
      <c r="A49" s="19"/>
      <c r="B49" s="553"/>
      <c r="C49" s="510" t="s">
        <v>166</v>
      </c>
      <c r="D49" s="36"/>
      <c r="E49" s="118">
        <v>0</v>
      </c>
      <c r="F49" s="161" t="s">
        <v>240</v>
      </c>
      <c r="H49" s="466"/>
      <c r="I49" s="467"/>
      <c r="J49" s="238"/>
      <c r="K49" s="241"/>
    </row>
    <row r="50" spans="1:11" ht="4.5" customHeight="1">
      <c r="A50" s="19"/>
      <c r="B50" s="19"/>
      <c r="C50" s="19"/>
      <c r="E50" s="162"/>
      <c r="F50" s="162"/>
      <c r="J50" s="238"/>
      <c r="K50" s="241"/>
    </row>
    <row r="51" spans="1:11" ht="12.75" customHeight="1">
      <c r="B51" s="19" t="s">
        <v>45</v>
      </c>
      <c r="C51" s="1"/>
      <c r="D51" s="163"/>
      <c r="E51" s="165">
        <f>SUM(E43:E49)</f>
        <v>28</v>
      </c>
      <c r="F51" s="164"/>
      <c r="J51" s="238"/>
      <c r="K51" s="1"/>
    </row>
    <row r="52" spans="1:11" ht="5.0999999999999996" customHeight="1">
      <c r="B52" s="19"/>
      <c r="C52" s="1"/>
      <c r="D52" s="164"/>
      <c r="E52" s="164"/>
      <c r="F52" s="164"/>
      <c r="J52" s="238"/>
      <c r="K52" s="1"/>
    </row>
    <row r="53" spans="1:11" ht="12.95" customHeight="1">
      <c r="A53" s="157" t="s">
        <v>15</v>
      </c>
      <c r="B53" s="157"/>
      <c r="C53" s="156"/>
      <c r="D53" s="156"/>
      <c r="E53" s="156"/>
      <c r="F53" s="156"/>
      <c r="I53" s="251"/>
      <c r="J53" s="1"/>
    </row>
    <row r="54" spans="1:11" ht="4.5" customHeight="1">
      <c r="A54" s="157"/>
      <c r="B54" s="157"/>
      <c r="C54" s="157"/>
      <c r="D54" s="157"/>
      <c r="J54" s="1"/>
    </row>
    <row r="55" spans="1:11" ht="12.75" customHeight="1">
      <c r="A55" s="166" t="s">
        <v>11</v>
      </c>
      <c r="B55" s="166"/>
      <c r="C55" s="1"/>
      <c r="E55" s="195">
        <f>I37</f>
        <v>20930000</v>
      </c>
      <c r="I55" s="654" t="str">
        <f>IF(E55&lt;500000,"! gemäß BP.9 (3): Wenn die Bemessungsgrundlage niedriger ist als 500.000 €, sollte der Ermittlungsweg über Abschätzung des Büro- / Personalaufwandes gewählt werden","")</f>
        <v/>
      </c>
      <c r="J55" s="654"/>
    </row>
    <row r="56" spans="1:11" ht="8.1" customHeight="1">
      <c r="A56" s="19"/>
      <c r="B56" s="19"/>
      <c r="C56" s="19"/>
      <c r="D56" s="19"/>
      <c r="E56" s="163"/>
      <c r="I56" s="654"/>
      <c r="J56" s="654"/>
    </row>
    <row r="57" spans="1:11" ht="13.5" customHeight="1">
      <c r="A57" s="24" t="s">
        <v>69</v>
      </c>
      <c r="B57" s="24"/>
      <c r="C57" s="24"/>
      <c r="E57" s="469">
        <f>0.013*E51+0.923</f>
        <v>1.29</v>
      </c>
      <c r="F57" s="121"/>
      <c r="I57" s="654"/>
      <c r="J57" s="654"/>
    </row>
    <row r="58" spans="1:11" ht="4.3499999999999996" customHeight="1">
      <c r="A58" s="19"/>
      <c r="B58" s="19"/>
      <c r="C58" s="19"/>
      <c r="E58" s="29"/>
      <c r="F58" s="121"/>
      <c r="I58" s="654"/>
      <c r="J58" s="654"/>
    </row>
    <row r="59" spans="1:11" s="110" customFormat="1" ht="18" customHeight="1">
      <c r="A59" s="19" t="s">
        <v>70</v>
      </c>
      <c r="B59" s="19"/>
      <c r="C59" s="19"/>
      <c r="E59" s="230">
        <f>ROUND(506.2538*E55^(-0.5074)*E57/100,6)</f>
        <v>1.2600000000000001E-3</v>
      </c>
      <c r="F59" s="554" t="s">
        <v>108</v>
      </c>
      <c r="I59" s="654"/>
      <c r="J59" s="654"/>
      <c r="K59" s="252"/>
    </row>
    <row r="60" spans="1:11" ht="13.5" customHeight="1">
      <c r="A60" s="19" t="s">
        <v>137</v>
      </c>
      <c r="B60" s="19"/>
      <c r="C60" s="19"/>
      <c r="E60" s="257">
        <v>0</v>
      </c>
      <c r="F60" s="207"/>
      <c r="I60" s="654"/>
      <c r="J60" s="654"/>
    </row>
    <row r="61" spans="1:11" ht="4.3499999999999996" customHeight="1">
      <c r="A61" s="19"/>
      <c r="B61" s="19"/>
      <c r="C61" s="19"/>
      <c r="E61" s="167"/>
      <c r="F61" s="167"/>
      <c r="I61" s="654"/>
      <c r="J61" s="654"/>
    </row>
    <row r="62" spans="1:11" ht="15" customHeight="1">
      <c r="A62" s="22" t="s">
        <v>139</v>
      </c>
      <c r="B62" s="20"/>
      <c r="C62" s="20"/>
      <c r="D62" s="168"/>
      <c r="E62" s="169"/>
      <c r="F62" s="256">
        <f>E55*E59*(1+E60)</f>
        <v>26372</v>
      </c>
    </row>
    <row r="63" spans="1:11" ht="4.3499999999999996" customHeight="1">
      <c r="A63" s="24"/>
      <c r="B63" s="19"/>
      <c r="C63" s="19"/>
      <c r="D63" s="156"/>
      <c r="E63" s="156"/>
      <c r="F63" s="156"/>
      <c r="G63" s="170"/>
      <c r="H63" s="170"/>
    </row>
    <row r="64" spans="1:11" ht="12.95" customHeight="1">
      <c r="A64" s="24"/>
      <c r="B64" s="19"/>
      <c r="C64" s="19"/>
      <c r="D64" s="275" t="s">
        <v>147</v>
      </c>
      <c r="E64" s="270" t="s">
        <v>5</v>
      </c>
      <c r="F64" s="170"/>
      <c r="J64" s="30"/>
    </row>
    <row r="65" spans="1:14" ht="12.75" customHeight="1">
      <c r="A65" s="156" t="s">
        <v>98</v>
      </c>
      <c r="B65" s="156"/>
      <c r="C65" s="171"/>
      <c r="D65" s="271">
        <v>0.03</v>
      </c>
      <c r="E65" s="222">
        <v>0.03</v>
      </c>
      <c r="F65" s="231">
        <f t="shared" ref="F65:F74" si="1">$F$62*E65</f>
        <v>791</v>
      </c>
      <c r="J65"/>
    </row>
    <row r="66" spans="1:14" ht="12.75" customHeight="1">
      <c r="A66" s="156" t="s">
        <v>35</v>
      </c>
      <c r="B66" s="156"/>
      <c r="C66" s="171"/>
      <c r="D66" s="271">
        <v>0.17</v>
      </c>
      <c r="E66" s="223">
        <v>0.17</v>
      </c>
      <c r="F66" s="231">
        <f t="shared" si="1"/>
        <v>4483</v>
      </c>
      <c r="J66"/>
    </row>
    <row r="67" spans="1:14" ht="12.75" customHeight="1">
      <c r="A67" s="156" t="s">
        <v>36</v>
      </c>
      <c r="B67" s="156"/>
      <c r="C67" s="171"/>
      <c r="D67" s="271">
        <v>0.35</v>
      </c>
      <c r="E67" s="223">
        <v>0.35</v>
      </c>
      <c r="F67" s="231">
        <f t="shared" si="1"/>
        <v>9230</v>
      </c>
      <c r="J67"/>
    </row>
    <row r="68" spans="1:14" ht="12.75" customHeight="1">
      <c r="A68" s="156" t="s">
        <v>37</v>
      </c>
      <c r="B68" s="156"/>
      <c r="C68" s="171"/>
      <c r="D68" s="271">
        <v>0.05</v>
      </c>
      <c r="E68" s="223">
        <v>0.05</v>
      </c>
      <c r="F68" s="231">
        <f t="shared" si="1"/>
        <v>1319</v>
      </c>
      <c r="J68"/>
    </row>
    <row r="69" spans="1:14" ht="12.75" customHeight="1">
      <c r="A69" s="156" t="s">
        <v>67</v>
      </c>
      <c r="B69" s="156"/>
      <c r="C69" s="171"/>
      <c r="D69" s="271">
        <v>0.27</v>
      </c>
      <c r="E69" s="223">
        <v>0.27</v>
      </c>
      <c r="F69" s="231">
        <f t="shared" si="1"/>
        <v>7120</v>
      </c>
      <c r="J69"/>
    </row>
    <row r="70" spans="1:14" ht="12.75" customHeight="1">
      <c r="A70" s="156" t="s">
        <v>39</v>
      </c>
      <c r="B70" s="156"/>
      <c r="C70" s="171"/>
      <c r="D70" s="271">
        <v>0.02</v>
      </c>
      <c r="E70" s="223">
        <v>0.02</v>
      </c>
      <c r="F70" s="231">
        <f t="shared" si="1"/>
        <v>527</v>
      </c>
      <c r="J70"/>
    </row>
    <row r="71" spans="1:14" ht="12.75" customHeight="1">
      <c r="A71" s="156" t="s">
        <v>61</v>
      </c>
      <c r="B71" s="156"/>
      <c r="C71" s="171"/>
      <c r="D71" s="271">
        <v>0.02</v>
      </c>
      <c r="E71" s="223">
        <v>0.02</v>
      </c>
      <c r="F71" s="231">
        <f t="shared" si="1"/>
        <v>527</v>
      </c>
      <c r="J71"/>
    </row>
    <row r="72" spans="1:14" ht="12.75" customHeight="1">
      <c r="A72" s="156" t="s">
        <v>54</v>
      </c>
      <c r="B72" s="156"/>
      <c r="C72" s="171"/>
      <c r="D72" s="271">
        <v>0.09</v>
      </c>
      <c r="E72" s="223">
        <v>0.09</v>
      </c>
      <c r="F72" s="231">
        <f t="shared" si="1"/>
        <v>2373</v>
      </c>
      <c r="J72"/>
    </row>
    <row r="73" spans="1:14" ht="12.75" customHeight="1">
      <c r="A73" s="156" t="s">
        <v>68</v>
      </c>
      <c r="B73" s="156"/>
      <c r="C73" s="171"/>
      <c r="D73" s="271">
        <v>0</v>
      </c>
      <c r="E73" s="223">
        <v>0</v>
      </c>
      <c r="F73" s="231">
        <f t="shared" si="1"/>
        <v>0</v>
      </c>
      <c r="J73"/>
    </row>
    <row r="74" spans="1:14" ht="12.75" customHeight="1">
      <c r="A74" s="168" t="s">
        <v>55</v>
      </c>
      <c r="B74" s="168"/>
      <c r="C74" s="174"/>
      <c r="D74" s="272">
        <v>0</v>
      </c>
      <c r="E74" s="224">
        <v>0</v>
      </c>
      <c r="F74" s="232">
        <f t="shared" si="1"/>
        <v>0</v>
      </c>
      <c r="G74" s="45"/>
      <c r="H74" s="45"/>
      <c r="I74" s="45"/>
      <c r="J74"/>
    </row>
    <row r="75" spans="1:14" s="16" customFormat="1" ht="18.600000000000001" customHeight="1">
      <c r="A75" s="292" t="s">
        <v>44</v>
      </c>
      <c r="B75" s="417"/>
      <c r="C75" s="418"/>
      <c r="D75" s="621">
        <f>SUM(D65:D74)</f>
        <v>1</v>
      </c>
      <c r="E75" s="289">
        <f>SUM(E65:E74)</f>
        <v>1</v>
      </c>
      <c r="F75" s="288">
        <f>SUM(F65:F74)</f>
        <v>26370</v>
      </c>
      <c r="I75" s="472"/>
      <c r="J75" s="17"/>
    </row>
    <row r="76" spans="1:14" ht="12.75" customHeight="1">
      <c r="A76" s="156" t="s">
        <v>211</v>
      </c>
      <c r="B76" s="156"/>
      <c r="C76" s="171"/>
      <c r="D76" s="271">
        <v>0.02</v>
      </c>
      <c r="E76" s="471">
        <v>0</v>
      </c>
      <c r="F76" s="177">
        <f>$F$62*E76</f>
        <v>0</v>
      </c>
      <c r="J76"/>
      <c r="K76" s="1"/>
    </row>
    <row r="77" spans="1:14" ht="12.75" customHeight="1">
      <c r="A77" s="168" t="s">
        <v>256</v>
      </c>
      <c r="B77" s="168"/>
      <c r="C77" s="174"/>
      <c r="D77" s="272">
        <v>0.02</v>
      </c>
      <c r="E77" s="224">
        <v>0</v>
      </c>
      <c r="F77" s="178">
        <f>$F$62*E77</f>
        <v>0</v>
      </c>
      <c r="G77" s="45"/>
      <c r="H77" s="45"/>
      <c r="I77" s="45"/>
      <c r="J77"/>
      <c r="K77" s="1"/>
    </row>
    <row r="78" spans="1:14" ht="13.5" customHeight="1">
      <c r="A78" s="644" t="s">
        <v>251</v>
      </c>
      <c r="B78" s="644"/>
      <c r="C78" s="644"/>
      <c r="D78" s="623">
        <f>SUM(D75:D77)</f>
        <v>1.04</v>
      </c>
      <c r="E78" s="474">
        <f>E75+SUM(E76:E77)</f>
        <v>1</v>
      </c>
      <c r="F78" s="475">
        <f>F75+SUM(F76:F77)</f>
        <v>26370</v>
      </c>
      <c r="G78" s="8"/>
      <c r="H78" s="8"/>
      <c r="I78" s="99">
        <f>F78</f>
        <v>26370</v>
      </c>
      <c r="J78" s="1"/>
    </row>
    <row r="79" spans="1:14" ht="9.9499999999999993" customHeight="1">
      <c r="E79" s="108"/>
      <c r="G79" s="8"/>
      <c r="H79" s="8"/>
      <c r="I79"/>
      <c r="J79" s="1"/>
    </row>
    <row r="80" spans="1:14" ht="12.75" customHeight="1">
      <c r="A80" s="33" t="s">
        <v>123</v>
      </c>
      <c r="E80" s="228">
        <v>0</v>
      </c>
      <c r="F80" s="229">
        <v>0</v>
      </c>
      <c r="G80" s="8"/>
      <c r="H80" s="8"/>
      <c r="I80" s="476">
        <f>E80*F80</f>
        <v>0</v>
      </c>
      <c r="J80" s="1"/>
      <c r="L80"/>
      <c r="M80"/>
      <c r="N80"/>
    </row>
    <row r="81" spans="1:10" ht="12.75" customHeight="1">
      <c r="E81" s="108"/>
      <c r="G81" s="8"/>
      <c r="H81" s="8"/>
      <c r="I81"/>
      <c r="J81" s="1"/>
    </row>
    <row r="82" spans="1:10" s="24" customFormat="1" ht="12.75">
      <c r="A82" s="94" t="s">
        <v>121</v>
      </c>
      <c r="B82" s="95"/>
      <c r="C82" s="96"/>
      <c r="D82" s="96"/>
      <c r="E82" s="109"/>
      <c r="F82" s="97"/>
      <c r="G82" s="97"/>
      <c r="H82" s="97"/>
      <c r="I82" s="99">
        <f>I78+I80</f>
        <v>26370</v>
      </c>
    </row>
    <row r="83" spans="1:10" s="24" customFormat="1" ht="4.3499999999999996" customHeight="1">
      <c r="B83" s="25"/>
      <c r="C83" s="26"/>
      <c r="D83" s="26"/>
      <c r="E83" s="217"/>
      <c r="F83" s="48"/>
      <c r="I83" s="91"/>
    </row>
    <row r="84" spans="1:10" s="24" customFormat="1" ht="12.75">
      <c r="A84" s="49" t="s">
        <v>13</v>
      </c>
      <c r="B84" s="25"/>
      <c r="C84" s="26"/>
      <c r="D84" s="26"/>
      <c r="E84" s="218">
        <v>0.04</v>
      </c>
      <c r="F84" s="48"/>
      <c r="I84" s="476">
        <f>ROUND(I82*E84,2)</f>
        <v>1055</v>
      </c>
    </row>
    <row r="85" spans="1:10" s="24" customFormat="1" ht="3" customHeight="1">
      <c r="A85" s="50"/>
      <c r="B85" s="51"/>
      <c r="C85" s="52"/>
      <c r="D85" s="52"/>
      <c r="E85" s="219"/>
      <c r="F85" s="57"/>
      <c r="G85" s="50"/>
      <c r="H85" s="50"/>
      <c r="I85" s="93"/>
    </row>
    <row r="86" spans="1:10" s="24" customFormat="1" ht="3" customHeight="1">
      <c r="B86" s="25"/>
      <c r="C86" s="26"/>
      <c r="D86" s="26"/>
      <c r="E86" s="220"/>
      <c r="F86" s="65"/>
      <c r="G86" s="59"/>
      <c r="H86" s="59"/>
      <c r="I86" s="91"/>
    </row>
    <row r="87" spans="1:10" s="24" customFormat="1" ht="12.75">
      <c r="A87" s="53" t="s">
        <v>214</v>
      </c>
      <c r="B87" s="54"/>
      <c r="C87" s="55"/>
      <c r="D87" s="55"/>
      <c r="E87" s="217"/>
      <c r="F87" s="48"/>
      <c r="I87" s="92">
        <f>I82+I84</f>
        <v>27425</v>
      </c>
    </row>
    <row r="88" spans="1:10" s="24" customFormat="1" ht="12.75">
      <c r="A88" s="24" t="s">
        <v>14</v>
      </c>
      <c r="B88" s="25"/>
      <c r="D88" s="26"/>
      <c r="E88" s="28">
        <v>0.2</v>
      </c>
      <c r="F88" s="28"/>
      <c r="I88" s="476">
        <f>ROUND(I87*E88,2)</f>
        <v>5485</v>
      </c>
    </row>
    <row r="89" spans="1:10" s="24" customFormat="1" ht="3" customHeight="1">
      <c r="B89" s="25"/>
      <c r="C89" s="26"/>
      <c r="D89" s="26"/>
      <c r="E89" s="48"/>
      <c r="F89" s="48"/>
      <c r="I89" s="91"/>
    </row>
    <row r="90" spans="1:10" s="24" customFormat="1" ht="12.75">
      <c r="A90" s="184" t="s">
        <v>215</v>
      </c>
      <c r="B90" s="196"/>
      <c r="C90" s="185"/>
      <c r="D90" s="185"/>
      <c r="E90" s="188"/>
      <c r="F90" s="188"/>
      <c r="G90" s="186"/>
      <c r="H90" s="186"/>
      <c r="I90" s="189">
        <f>SUM(I86:I88)</f>
        <v>32910</v>
      </c>
    </row>
    <row r="91" spans="1:10" ht="5.0999999999999996" customHeight="1">
      <c r="G91" s="8"/>
      <c r="H91" s="8"/>
      <c r="I91" s="9"/>
      <c r="J91" s="1"/>
    </row>
    <row r="92" spans="1:10" ht="12.75">
      <c r="A92" s="198" t="s">
        <v>106</v>
      </c>
      <c r="E92" s="255">
        <f>I87/E33</f>
        <v>9.6400000000000001E-4</v>
      </c>
      <c r="G92" s="8"/>
      <c r="H92" s="8"/>
      <c r="I92" s="9"/>
      <c r="J92" s="1"/>
    </row>
  </sheetData>
  <sheetProtection algorithmName="SHA-512" hashValue="k8plQDpLWIHF7grn7owphyGkioq1x50K3sLT+LikgSz5Ghk22hZq00ABBQzcbZ8c3mzKFMecSHU7YIOMyqopNA==" saltValue="GEEdfrloa8/OWLWLv1iGOg==" spinCount="100000" sheet="1" objects="1" scenarios="1"/>
  <mergeCells count="14">
    <mergeCell ref="I55:J61"/>
    <mergeCell ref="H42:I42"/>
    <mergeCell ref="H2:I2"/>
    <mergeCell ref="A25:B25"/>
    <mergeCell ref="A21:B21"/>
    <mergeCell ref="A23:B23"/>
    <mergeCell ref="A7:B7"/>
    <mergeCell ref="A9:B9"/>
    <mergeCell ref="A11:B11"/>
    <mergeCell ref="A78:C78"/>
    <mergeCell ref="A27:B27"/>
    <mergeCell ref="A29:B29"/>
    <mergeCell ref="A31:B31"/>
    <mergeCell ref="A35:B35"/>
  </mergeCells>
  <pageMargins left="0.70866141732283472" right="0.70866141732283472" top="0.74803149606299213" bottom="0.74803149606299213" header="0.31496062992125984" footer="0.31496062992125984"/>
  <pageSetup paperSize="9" scale="72" fitToWidth="0" pageOrder="overThenDown" orientation="portrait" r:id="rId1"/>
  <headerFooter>
    <oddHeader>&amp;L&amp;"Arial,Fett"&amp;K01+030Angebot Bauphysik &amp;A
&amp;"Arial,Standard"nach VM.BP.2023&amp;R&amp;"Arial,Standard"&amp;K01+031Version 1
Stand: 15.09.2023</oddHeader>
    <oddFooter>&amp;L&amp;"Arial,Fett"&amp;K01+039LM.VM.2023 &amp;"Arial,Standard" |  Bauphysik &amp;A  |  Angebotsformular&amp;R&amp;"Arial,Standard"&amp;K01+039&amp;P/&amp;N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Scroll Bar 1">
              <controlPr locked="0" defaultSize="0" autoPict="0">
                <anchor moveWithCells="1">
                  <from>
                    <xdr:col>7</xdr:col>
                    <xdr:colOff>38100</xdr:colOff>
                    <xdr:row>42</xdr:row>
                    <xdr:rowOff>19050</xdr:rowOff>
                  </from>
                  <to>
                    <xdr:col>8</xdr:col>
                    <xdr:colOff>1009650</xdr:colOff>
                    <xdr:row>42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Scroll Bar 2">
              <controlPr defaultSize="0" autoPict="0">
                <anchor moveWithCells="1">
                  <from>
                    <xdr:col>7</xdr:col>
                    <xdr:colOff>38100</xdr:colOff>
                    <xdr:row>43</xdr:row>
                    <xdr:rowOff>19050</xdr:rowOff>
                  </from>
                  <to>
                    <xdr:col>8</xdr:col>
                    <xdr:colOff>1009650</xdr:colOff>
                    <xdr:row>43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Scroll Bar 3">
              <controlPr defaultSize="0" autoPict="0">
                <anchor moveWithCells="1">
                  <from>
                    <xdr:col>7</xdr:col>
                    <xdr:colOff>38100</xdr:colOff>
                    <xdr:row>44</xdr:row>
                    <xdr:rowOff>28575</xdr:rowOff>
                  </from>
                  <to>
                    <xdr:col>8</xdr:col>
                    <xdr:colOff>1009650</xdr:colOff>
                    <xdr:row>44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Scroll Bar 4">
              <controlPr locked="0" defaultSize="0" autoPict="0">
                <anchor moveWithCells="1">
                  <from>
                    <xdr:col>7</xdr:col>
                    <xdr:colOff>38100</xdr:colOff>
                    <xdr:row>45</xdr:row>
                    <xdr:rowOff>28575</xdr:rowOff>
                  </from>
                  <to>
                    <xdr:col>8</xdr:col>
                    <xdr:colOff>1009650</xdr:colOff>
                    <xdr:row>45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Scroll Bar 5">
              <controlPr locked="0" defaultSize="0" autoPict="0">
                <anchor moveWithCells="1">
                  <from>
                    <xdr:col>7</xdr:col>
                    <xdr:colOff>28575</xdr:colOff>
                    <xdr:row>47</xdr:row>
                    <xdr:rowOff>28575</xdr:rowOff>
                  </from>
                  <to>
                    <xdr:col>8</xdr:col>
                    <xdr:colOff>1009650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Scroll Bar 6">
              <controlPr locked="0" defaultSize="0" autoPict="0">
                <anchor moveWithCells="1">
                  <from>
                    <xdr:col>7</xdr:col>
                    <xdr:colOff>28575</xdr:colOff>
                    <xdr:row>48</xdr:row>
                    <xdr:rowOff>28575</xdr:rowOff>
                  </from>
                  <to>
                    <xdr:col>8</xdr:col>
                    <xdr:colOff>1009650</xdr:colOff>
                    <xdr:row>48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53</vt:i4>
      </vt:variant>
    </vt:vector>
  </HeadingPairs>
  <TitlesOfParts>
    <vt:vector size="68" baseType="lpstr">
      <vt:lpstr>Summenblatt</vt:lpstr>
      <vt:lpstr>GP2b Mgt. NEU</vt:lpstr>
      <vt:lpstr>BauKG</vt:lpstr>
      <vt:lpstr>Objektplanung Architektur</vt:lpstr>
      <vt:lpstr>ED zusammen 2023</vt:lpstr>
      <vt:lpstr>Freianlagen</vt:lpstr>
      <vt:lpstr>Tragwerksplanung</vt:lpstr>
      <vt:lpstr>BPH-Thermisch</vt:lpstr>
      <vt:lpstr>BPH-Schallschutz</vt:lpstr>
      <vt:lpstr>BPH-Raumakustik</vt:lpstr>
      <vt:lpstr>TA_SanitärHeizungKlimaLüftung</vt:lpstr>
      <vt:lpstr>TA_Elektro</vt:lpstr>
      <vt:lpstr>TA_Fördertechnik</vt:lpstr>
      <vt:lpstr>TA_Gebäudeautomation</vt:lpstr>
      <vt:lpstr>Brandschutz</vt:lpstr>
      <vt:lpstr>_1</vt:lpstr>
      <vt:lpstr>_1_9</vt:lpstr>
      <vt:lpstr>_2</vt:lpstr>
      <vt:lpstr>_3</vt:lpstr>
      <vt:lpstr>_3.01</vt:lpstr>
      <vt:lpstr>_3.02</vt:lpstr>
      <vt:lpstr>_3.03</vt:lpstr>
      <vt:lpstr>_3.04</vt:lpstr>
      <vt:lpstr>_3.05</vt:lpstr>
      <vt:lpstr>_3.06</vt:lpstr>
      <vt:lpstr>_3.07</vt:lpstr>
      <vt:lpstr>_3.08</vt:lpstr>
      <vt:lpstr>_4</vt:lpstr>
      <vt:lpstr>_5</vt:lpstr>
      <vt:lpstr>_5.01</vt:lpstr>
      <vt:lpstr>_5.02</vt:lpstr>
      <vt:lpstr>_5.03</vt:lpstr>
      <vt:lpstr>_6</vt:lpstr>
      <vt:lpstr>_7</vt:lpstr>
      <vt:lpstr>_8</vt:lpstr>
      <vt:lpstr>_9</vt:lpstr>
      <vt:lpstr>_EK</vt:lpstr>
      <vt:lpstr>_mvB</vt:lpstr>
      <vt:lpstr>BauKG!Druckbereich</vt:lpstr>
      <vt:lpstr>'BPH-Raumakustik'!Druckbereich</vt:lpstr>
      <vt:lpstr>'BPH-Schallschutz'!Druckbereich</vt:lpstr>
      <vt:lpstr>'BPH-Thermisch'!Druckbereich</vt:lpstr>
      <vt:lpstr>Brandschutz!Druckbereich</vt:lpstr>
      <vt:lpstr>'ED zusammen 2023'!Druckbereich</vt:lpstr>
      <vt:lpstr>Freianlagen!Druckbereich</vt:lpstr>
      <vt:lpstr>'GP2b Mgt. NEU'!Druckbereich</vt:lpstr>
      <vt:lpstr>'Objektplanung Architektur'!Druckbereich</vt:lpstr>
      <vt:lpstr>Summenblatt!Druckbereich</vt:lpstr>
      <vt:lpstr>TA_Elektro!Druckbereich</vt:lpstr>
      <vt:lpstr>TA_Fördertechnik!Druckbereich</vt:lpstr>
      <vt:lpstr>TA_Gebäudeautomation!Druckbereich</vt:lpstr>
      <vt:lpstr>TA_SanitärHeizungKlimaLüftung!Druckbereich</vt:lpstr>
      <vt:lpstr>Tragwerksplanung!Druckbereich</vt:lpstr>
      <vt:lpstr>BauKG!Drucktitel</vt:lpstr>
      <vt:lpstr>'BPH-Raumakustik'!Drucktitel</vt:lpstr>
      <vt:lpstr>'BPH-Schallschutz'!Drucktitel</vt:lpstr>
      <vt:lpstr>'BPH-Thermisch'!Drucktitel</vt:lpstr>
      <vt:lpstr>'ED zusammen 2023'!Drucktitel</vt:lpstr>
      <vt:lpstr>Freianlagen!Drucktitel</vt:lpstr>
      <vt:lpstr>'GP2b Mgt. NEU'!Drucktitel</vt:lpstr>
      <vt:lpstr>'Objektplanung Architektur'!Drucktitel</vt:lpstr>
      <vt:lpstr>Summenblatt!Drucktitel</vt:lpstr>
      <vt:lpstr>TA_Elektro!Drucktitel</vt:lpstr>
      <vt:lpstr>TA_Fördertechnik!Drucktitel</vt:lpstr>
      <vt:lpstr>TA_Gebäudeautomation!Drucktitel</vt:lpstr>
      <vt:lpstr>TA_SanitärHeizungKlimaLüftung!Drucktitel</vt:lpstr>
      <vt:lpstr>Tragwerksplanung!Drucktitel</vt:lpstr>
      <vt:lpstr>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Brauneis Helmut</cp:lastModifiedBy>
  <cp:lastPrinted>2023-11-16T09:37:26Z</cp:lastPrinted>
  <dcterms:created xsi:type="dcterms:W3CDTF">2009-05-04T08:45:42Z</dcterms:created>
  <dcterms:modified xsi:type="dcterms:W3CDTF">2023-12-14T14:45:28Z</dcterms:modified>
</cp:coreProperties>
</file>