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c\Desktop\"/>
    </mc:Choice>
  </mc:AlternateContent>
  <xr:revisionPtr revIDLastSave="0" documentId="8_{2837028F-B2A2-4095-AE11-B5DBD220DB49}" xr6:coauthVersionLast="31" xr6:coauthVersionMax="31" xr10:uidLastSave="{00000000-0000-0000-0000-000000000000}"/>
  <bookViews>
    <workbookView xWindow="120" yWindow="105" windowWidth="13725" windowHeight="11505" tabRatio="908" xr2:uid="{00000000-000D-0000-FFFF-FFFF00000000}"/>
  </bookViews>
  <sheets>
    <sheet name="Projektkennwerte" sheetId="68" r:id="rId1"/>
    <sheet name="GP2a" sheetId="99" state="hidden" r:id="rId2"/>
    <sheet name="GP2b Mgt." sheetId="56" state="hidden" r:id="rId3"/>
    <sheet name="OA" sheetId="55" r:id="rId4"/>
    <sheet name="TA_HKLS" sheetId="70" r:id="rId5"/>
    <sheet name="Summenblatt" sheetId="163" r:id="rId6"/>
  </sheets>
  <definedNames>
    <definedName name="_0" comment="KB 0 - Grund">Projektkennwerte!$M$6</definedName>
    <definedName name="_1" comment="KB 1 - Aufschließung">Projektkennwerte!$M$8</definedName>
    <definedName name="_1_6" comment="KB 1-6 = Baukosten">Projektkennwerte!$M$28</definedName>
    <definedName name="_1_9" comment="KB 1-9 = Errichtungskosten">Projektkennwerte!$M$30</definedName>
    <definedName name="_2" comment="KB 2 - Robau">Projektkennwerte!$M$10</definedName>
    <definedName name="_2_4" comment="KB 2-4 = Bauwerkskosten">Projektkennwerte!$M$26</definedName>
    <definedName name="_3" comment="KB 3 - Technik">Projektkennwerte!$M$12</definedName>
    <definedName name="_3Elektro" comment="KB 3 - Anteil Elektro">Projektkennwerte!$M$45</definedName>
    <definedName name="_3Föte" comment="KB 3 - Anteil Fördertechnik">Projektkennwerte!$M$47</definedName>
    <definedName name="_3GA" comment="KB 3 - Anteil Gebäudeautomation">Projektkennwerte!$M$50</definedName>
    <definedName name="_3Heizung" comment="KB 3 - Anteil Heizung">Projektkennwerte!$M$43</definedName>
    <definedName name="_3IT" comment="KB 3 - Anteil Informationstechnologie">Projektkennwerte!$M$46</definedName>
    <definedName name="_3Lüftung" comment="KB 3 - Anteil Lüftung">Projektkennwerte!$M$44</definedName>
    <definedName name="_3Nutzer" comment="KB 3 - Anteil Nutzerspezifische Anlagen">Projektkennwerte!$M$48</definedName>
    <definedName name="_3Sanitär" comment="KB 3 - Anteil Sanitär">Projektkennwerte!$M$42</definedName>
    <definedName name="_4" comment="KB 4 - Ausbau">Projektkennwerte!$M$14</definedName>
    <definedName name="_5" comment="KB 5 - Einrichtung">Projektkennwerte!$M$16</definedName>
    <definedName name="_5EinbauM" comment="KB 5 - Anteil Einbaumöbel">Projektkennwerte!$M$53</definedName>
    <definedName name="_5Nutzer" comment="KB 5 - Anteil Nutzerspezifische Ausstattung">Projektkennwerte!$M$55</definedName>
    <definedName name="_5SerienM" comment="KB 5 - Anteil Serienmöbel">Projektkennwerte!$M$54</definedName>
    <definedName name="_5Übers" comment="KB 5 - Anteil Übersiedelungsgut">Projektkennwerte!$M$56</definedName>
    <definedName name="_6" comment="KB 6 - Außenanlagen">Projektkennwerte!$M$18</definedName>
    <definedName name="_7" comment="KB 7 - Planungsleistungen">Projektkennwerte!$M$20</definedName>
    <definedName name="_7BK" comment="KB 7 - Anteil Begleitende Kontrolle">Projektkennwerte!#REF!</definedName>
    <definedName name="_7PL" comment="KB 7 - Anteil Projektleitung">Projektkennwerte!#REF!</definedName>
    <definedName name="_7PLA" comment="KB 7 - Anteil Planer ohne PL, BK und PS">Projektkennwerte!#REF!</definedName>
    <definedName name="_7PS" comment="KB 7 - Anteil Projektsteuerung">Projektkennwerte!#REF!</definedName>
    <definedName name="_8" comment="KB 8 - Nebenkosten">Projektkennwerte!$M$22</definedName>
    <definedName name="_9" comment="KB 9 - Reserven">Projektkennwerte!$M$24</definedName>
    <definedName name="_Anrainer" comment="Anrainer, Ombudsmann">#REF!</definedName>
    <definedName name="_BauKG" comment="BauKG Planungs- und Baukoordination">#REF!</definedName>
    <definedName name="_BK" comment="Begleitende Kontrolle">#REF!</definedName>
    <definedName name="_BPH_akustik" comment="Bauphysik Raumakustik">#REF!</definedName>
    <definedName name="_BPH_Schall" comment="Bauphysik Schallschutz">#REF!</definedName>
    <definedName name="_BPH_Th" comment="Thermische Bauphysik">#REF!</definedName>
    <definedName name="_Brand" comment="Brandschutz">#REF!</definedName>
    <definedName name="_Brand_AHO" comment="Brandschutz nach AHO">#REF!</definedName>
    <definedName name="_ED" comment="Einrichtungsplanung">#REF!</definedName>
    <definedName name="_FA" comment="Freianlagen + Verkehr (ohne technische Bauwerke)">#REF!</definedName>
    <definedName name="_FM" comment="Facility Management Consulting">#REF!</definedName>
    <definedName name="_Genehm" comment="Genehmigungen">#REF!</definedName>
    <definedName name="_Geo" comment="Geotechnik">#REF!</definedName>
    <definedName name="_GP2aNeu" comment="Generalplaner Leitung 2.a">#REF!</definedName>
    <definedName name="_GP2b_Mgt.NEU" comment="Generalplaner Management 2.b">#REF!</definedName>
    <definedName name="_mvB" comment="mitzuverarbeitende Bausubstanz">Projektkennwerte!$K$37</definedName>
    <definedName name="_OA" comment="Objektplanung Architektur">OA!$I$91</definedName>
    <definedName name="_Öff.arbeit" comment="Öffentlichkeitsarbeit in der Projektentwicklung">#REF!</definedName>
    <definedName name="_PI" comment="Prüfingenieur DSL 3">#REF!</definedName>
    <definedName name="_PL2.a" comment="Projektleitung">#REF!</definedName>
    <definedName name="_PL2.b" comment="Projektleitung komplexe Projekte">#REF!</definedName>
    <definedName name="_PS" comment=" Projektsteuerung">#REF!</definedName>
    <definedName name="_TA_ELT" comment="Technische Ausrüstung Elektrotechnik">#REF!</definedName>
    <definedName name="_TA_FÖTE" comment="Technische Ausrüstung Fördertechnik">#REF!</definedName>
    <definedName name="_TA_HKLS" comment="Technische Ausrüstung - HKLS">TA_HKLS!$I$94</definedName>
    <definedName name="_TA_MSR" comment="Technische Ausrüstung MSR">#REF!</definedName>
    <definedName name="_TA_MT" comment="Technische Ausrüstung Medizintechnik">#REF!</definedName>
    <definedName name="_TA_Nutzer" comment="Technische Ausrüstung Nutzungsspezifische Anlagen">#REF!</definedName>
    <definedName name="_TW" comment="Tragwersplanung">#REF!</definedName>
    <definedName name="_VB_BK" comment="Verfahrensbetreuung Begleitende Kontrolle">#REF!</definedName>
    <definedName name="_VB_FPL" comment="Verfahrensbetreuung Fachplanung">#REF!</definedName>
    <definedName name="_VB_GP" comment="Verfahrensbetreuung Generalplaner">#REF!</definedName>
    <definedName name="_VB_jur" comment="Verfahrensbetreuung (juristisch)">#REF!</definedName>
    <definedName name="_VB_kaufm" comment="Verfahrensbetreuung (kaufmännisch)">#REF!</definedName>
    <definedName name="_VB_ÖBA" comment="Verfahrensbetreuung Örtliche Bauaufsicht">#REF!</definedName>
    <definedName name="_VB_PS" comment="Verfahrensbetreuung Projektsteuerung">#REF!</definedName>
    <definedName name="_Verm" comment="Vermessung">#REF!</definedName>
    <definedName name="_Versich" comment="Versicherung">#REF!</definedName>
    <definedName name="_xlnm.Print_Area" localSheetId="1">GP2a!$A$1:$J$91</definedName>
    <definedName name="_xlnm.Print_Area" localSheetId="2">'GP2b Mgt.'!$A$1:$J$91</definedName>
    <definedName name="_xlnm.Print_Area" localSheetId="3">OA!$A$1:$L$100</definedName>
    <definedName name="_xlnm.Print_Area" localSheetId="0">Projektkennwerte!$A$1:$N$57</definedName>
    <definedName name="_xlnm.Print_Area" localSheetId="5">Summenblatt!$A$1:$I$12</definedName>
    <definedName name="_xlnm.Print_Area" localSheetId="4">TA_HKLS!$A$1:$L$103</definedName>
    <definedName name="_xlnm.Print_Titles" localSheetId="1">GP2a!$A:$D,GP2a!$3:$3</definedName>
    <definedName name="_xlnm.Print_Titles" localSheetId="2">'GP2b Mgt.'!$A:$D,'GP2b Mgt.'!$3:$3</definedName>
    <definedName name="_xlnm.Print_Titles" localSheetId="5">Summenblatt!$A:$C,Summenblatt!#REF!</definedName>
    <definedName name="_xlnm.Print_Titles" localSheetId="4">TA_HKLS!$A:$D,TA_HKLS!$3:$3</definedName>
  </definedNames>
  <calcPr calcId="179017"/>
</workbook>
</file>

<file path=xl/calcChain.xml><?xml version="1.0" encoding="utf-8"?>
<calcChain xmlns="http://schemas.openxmlformats.org/spreadsheetml/2006/main">
  <c r="M56" i="68" l="1"/>
  <c r="K52" i="68"/>
  <c r="K16" i="68" s="1"/>
  <c r="I52" i="68"/>
  <c r="I16" i="68"/>
  <c r="M16" i="68" s="1"/>
  <c r="K41" i="68"/>
  <c r="K12" i="68" s="1"/>
  <c r="K26" i="68" s="1"/>
  <c r="I41" i="68"/>
  <c r="I12" i="68" s="1"/>
  <c r="M53" i="68"/>
  <c r="M55" i="68"/>
  <c r="M54" i="68"/>
  <c r="M50" i="68"/>
  <c r="M49" i="68"/>
  <c r="M48" i="68"/>
  <c r="M47" i="68"/>
  <c r="M46" i="68"/>
  <c r="F16" i="70" s="1"/>
  <c r="I16" i="70" s="1"/>
  <c r="M45" i="68"/>
  <c r="M44" i="68"/>
  <c r="M43" i="68"/>
  <c r="M42" i="68"/>
  <c r="F12" i="70" s="1"/>
  <c r="I12" i="70" s="1"/>
  <c r="M24" i="68"/>
  <c r="M22" i="68"/>
  <c r="M18" i="68"/>
  <c r="M14" i="68"/>
  <c r="F13" i="99" s="1"/>
  <c r="I13" i="99" s="1"/>
  <c r="M10" i="68"/>
  <c r="M8" i="68"/>
  <c r="F7" i="55" s="1"/>
  <c r="I7" i="55" s="1"/>
  <c r="M6" i="68"/>
  <c r="K37" i="68"/>
  <c r="I74" i="99"/>
  <c r="F69" i="99"/>
  <c r="E69" i="99"/>
  <c r="F21" i="99"/>
  <c r="I21" i="99" s="1"/>
  <c r="F22" i="70"/>
  <c r="I22" i="70" s="1"/>
  <c r="F53" i="55"/>
  <c r="F58" i="55" s="1"/>
  <c r="I87" i="70"/>
  <c r="F82" i="70"/>
  <c r="E82" i="70"/>
  <c r="F56" i="70"/>
  <c r="F61" i="70" s="1"/>
  <c r="F79" i="55"/>
  <c r="F14" i="55"/>
  <c r="I14" i="55" s="1"/>
  <c r="F69" i="56"/>
  <c r="I74" i="56"/>
  <c r="E79" i="55"/>
  <c r="E69" i="56"/>
  <c r="F45" i="56"/>
  <c r="F50" i="56"/>
  <c r="F23" i="56"/>
  <c r="I23" i="56" s="1"/>
  <c r="F13" i="56"/>
  <c r="I13" i="56" s="1"/>
  <c r="I84" i="55"/>
  <c r="F20" i="70"/>
  <c r="I20" i="70" s="1"/>
  <c r="F18" i="55"/>
  <c r="F17" i="99"/>
  <c r="I17" i="99" s="1"/>
  <c r="F20" i="55"/>
  <c r="I20" i="55" s="1"/>
  <c r="F19" i="99"/>
  <c r="I19" i="99" s="1"/>
  <c r="F28" i="55"/>
  <c r="I28" i="55" s="1"/>
  <c r="I18" i="55"/>
  <c r="F26" i="70"/>
  <c r="F17" i="56"/>
  <c r="I17" i="56" s="1"/>
  <c r="F13" i="70"/>
  <c r="I13" i="70" s="1"/>
  <c r="F22" i="55"/>
  <c r="I22" i="55" s="1"/>
  <c r="I26" i="70"/>
  <c r="M11" i="55" l="1"/>
  <c r="F9" i="99"/>
  <c r="I9" i="99" s="1"/>
  <c r="F9" i="70"/>
  <c r="I9" i="70" s="1"/>
  <c r="M52" i="68"/>
  <c r="F17" i="70"/>
  <c r="I17" i="70" s="1"/>
  <c r="F24" i="70"/>
  <c r="I24" i="70" s="1"/>
  <c r="F16" i="55"/>
  <c r="I16" i="55" s="1"/>
  <c r="F15" i="99"/>
  <c r="I15" i="99" s="1"/>
  <c r="K28" i="68"/>
  <c r="K30" i="68"/>
  <c r="F15" i="56"/>
  <c r="I15" i="56" s="1"/>
  <c r="F7" i="99"/>
  <c r="I7" i="99" s="1"/>
  <c r="F7" i="56"/>
  <c r="I7" i="56" s="1"/>
  <c r="F7" i="70"/>
  <c r="I7" i="70" s="1"/>
  <c r="F30" i="70"/>
  <c r="I30" i="70" s="1"/>
  <c r="F21" i="56"/>
  <c r="I21" i="56" s="1"/>
  <c r="F14" i="70"/>
  <c r="I14" i="70" s="1"/>
  <c r="M41" i="68"/>
  <c r="F18" i="70"/>
  <c r="I18" i="70" s="1"/>
  <c r="F19" i="56"/>
  <c r="I19" i="56" s="1"/>
  <c r="F28" i="70"/>
  <c r="I28" i="70" s="1"/>
  <c r="F24" i="55"/>
  <c r="I24" i="55" s="1"/>
  <c r="F23" i="99"/>
  <c r="I23" i="99" s="1"/>
  <c r="F19" i="70"/>
  <c r="I19" i="70" s="1"/>
  <c r="F15" i="70"/>
  <c r="I15" i="70" s="1"/>
  <c r="F9" i="56"/>
  <c r="I9" i="56" s="1"/>
  <c r="F9" i="55"/>
  <c r="I9" i="55" s="1"/>
  <c r="F32" i="70"/>
  <c r="I32" i="70" s="1"/>
  <c r="I30" i="68"/>
  <c r="I26" i="68"/>
  <c r="M12" i="68"/>
  <c r="I28" i="68"/>
  <c r="I36" i="70" l="1"/>
  <c r="F60" i="70" s="1"/>
  <c r="F62" i="70" s="1"/>
  <c r="F65" i="70" s="1"/>
  <c r="F11" i="70"/>
  <c r="I11" i="55"/>
  <c r="F11" i="99"/>
  <c r="F11" i="55"/>
  <c r="F11" i="56"/>
  <c r="M26" i="68"/>
  <c r="H12" i="55"/>
  <c r="M28" i="68"/>
  <c r="E12" i="68" s="1"/>
  <c r="M30" i="68"/>
  <c r="F64" i="70" l="1"/>
  <c r="G64" i="70"/>
  <c r="I12" i="55"/>
  <c r="I75" i="70"/>
  <c r="I77" i="70"/>
  <c r="I74" i="70"/>
  <c r="I70" i="70"/>
  <c r="I69" i="70"/>
  <c r="I79" i="70"/>
  <c r="I80" i="70"/>
  <c r="I72" i="70"/>
  <c r="I73" i="70"/>
  <c r="I81" i="70"/>
  <c r="I78" i="70"/>
  <c r="I71" i="70"/>
  <c r="I76" i="70"/>
  <c r="G63" i="70"/>
  <c r="F63" i="70"/>
  <c r="F25" i="56"/>
  <c r="E11" i="56"/>
  <c r="I11" i="56"/>
  <c r="I27" i="56" s="1"/>
  <c r="F49" i="56" s="1"/>
  <c r="M12" i="55"/>
  <c r="M14" i="55" s="1"/>
  <c r="E11" i="55"/>
  <c r="F26" i="55"/>
  <c r="G18" i="68"/>
  <c r="G50" i="68"/>
  <c r="E18" i="55"/>
  <c r="G24" i="68"/>
  <c r="E9" i="55"/>
  <c r="G55" i="68"/>
  <c r="E14" i="55"/>
  <c r="E21" i="56"/>
  <c r="E7" i="56"/>
  <c r="G10" i="68"/>
  <c r="E19" i="99"/>
  <c r="E17" i="99"/>
  <c r="E23" i="56"/>
  <c r="G16" i="68"/>
  <c r="E16" i="55"/>
  <c r="G48" i="68"/>
  <c r="E21" i="99"/>
  <c r="G8" i="68"/>
  <c r="G45" i="68"/>
  <c r="G42" i="68"/>
  <c r="G53" i="68"/>
  <c r="E9" i="56"/>
  <c r="G43" i="68"/>
  <c r="E15" i="99"/>
  <c r="G49" i="68"/>
  <c r="G47" i="68"/>
  <c r="G20" i="68"/>
  <c r="E24" i="55"/>
  <c r="E15" i="56"/>
  <c r="G14" i="68"/>
  <c r="G22" i="68"/>
  <c r="E19" i="56"/>
  <c r="G54" i="68"/>
  <c r="E9" i="99"/>
  <c r="G30" i="68"/>
  <c r="E13" i="99"/>
  <c r="G44" i="68"/>
  <c r="G6" i="68"/>
  <c r="G46" i="68"/>
  <c r="E7" i="99"/>
  <c r="G56" i="68"/>
  <c r="E20" i="55"/>
  <c r="E13" i="56"/>
  <c r="E23" i="99"/>
  <c r="E7" i="55"/>
  <c r="E17" i="56"/>
  <c r="E22" i="55"/>
  <c r="I26" i="55"/>
  <c r="I30" i="55" s="1"/>
  <c r="F57" i="55" s="1"/>
  <c r="F33" i="99"/>
  <c r="F32" i="99"/>
  <c r="F45" i="99" s="1"/>
  <c r="G12" i="68"/>
  <c r="E43" i="68"/>
  <c r="E45" i="68"/>
  <c r="E18" i="68"/>
  <c r="E50" i="68"/>
  <c r="E48" i="68"/>
  <c r="E54" i="68"/>
  <c r="E8" i="68"/>
  <c r="E28" i="68"/>
  <c r="E16" i="68"/>
  <c r="E53" i="68"/>
  <c r="E22" i="68"/>
  <c r="E49" i="68"/>
  <c r="E20" i="68"/>
  <c r="E46" i="68"/>
  <c r="E56" i="68"/>
  <c r="E10" i="68"/>
  <c r="E6" i="68"/>
  <c r="E14" i="68"/>
  <c r="E55" i="68"/>
  <c r="E44" i="68"/>
  <c r="E47" i="68"/>
  <c r="E24" i="68"/>
  <c r="G28" i="68"/>
  <c r="E42" i="68"/>
  <c r="E26" i="68"/>
  <c r="G26" i="68"/>
  <c r="F25" i="99"/>
  <c r="E11" i="99"/>
  <c r="I11" i="99"/>
  <c r="I27" i="99" s="1"/>
  <c r="F49" i="99" s="1"/>
  <c r="F34" i="70"/>
  <c r="E11" i="70" s="1"/>
  <c r="I82" i="70" l="1"/>
  <c r="I86" i="70" s="1"/>
  <c r="I89" i="70" s="1"/>
  <c r="I91" i="70" s="1"/>
  <c r="I94" i="70" s="1"/>
  <c r="H9" i="163" s="1"/>
  <c r="E25" i="99"/>
  <c r="E26" i="70"/>
  <c r="E9" i="70"/>
  <c r="E24" i="70"/>
  <c r="E22" i="70"/>
  <c r="E7" i="70"/>
  <c r="E28" i="70"/>
  <c r="E32" i="70"/>
  <c r="E30" i="70"/>
  <c r="F51" i="56"/>
  <c r="F52" i="56" s="1"/>
  <c r="E25" i="56"/>
  <c r="F50" i="99"/>
  <c r="F51" i="99" s="1"/>
  <c r="F52" i="99" s="1"/>
  <c r="H60" i="55"/>
  <c r="F60" i="55"/>
  <c r="F59" i="55"/>
  <c r="F62" i="55" s="1"/>
  <c r="I71" i="55" s="1"/>
  <c r="G61" i="55"/>
  <c r="F61" i="55"/>
  <c r="E26" i="55"/>
  <c r="F9" i="163" l="1"/>
  <c r="G9" i="163"/>
  <c r="I96" i="70"/>
  <c r="I99" i="70" s="1"/>
  <c r="I101" i="70" s="1"/>
  <c r="I103" i="70" s="1"/>
  <c r="I68" i="55"/>
  <c r="I78" i="55"/>
  <c r="I76" i="55"/>
  <c r="I74" i="55"/>
  <c r="I69" i="55"/>
  <c r="I64" i="99"/>
  <c r="I63" i="99"/>
  <c r="I66" i="99"/>
  <c r="I67" i="99"/>
  <c r="I68" i="99"/>
  <c r="I65" i="99"/>
  <c r="I59" i="99"/>
  <c r="I60" i="99"/>
  <c r="I62" i="99"/>
  <c r="I56" i="99"/>
  <c r="I57" i="99"/>
  <c r="I58" i="99"/>
  <c r="I61" i="99"/>
  <c r="I57" i="56"/>
  <c r="I61" i="56"/>
  <c r="I56" i="56"/>
  <c r="I68" i="56"/>
  <c r="I67" i="56"/>
  <c r="I60" i="56"/>
  <c r="I59" i="56"/>
  <c r="I65" i="56"/>
  <c r="I66" i="56"/>
  <c r="I58" i="56"/>
  <c r="I63" i="56"/>
  <c r="I64" i="56"/>
  <c r="I62" i="56"/>
  <c r="I73" i="55"/>
  <c r="I70" i="55"/>
  <c r="I72" i="55"/>
  <c r="I66" i="55"/>
  <c r="I75" i="55"/>
  <c r="I67" i="55"/>
  <c r="I77" i="55"/>
  <c r="E34" i="70"/>
  <c r="I69" i="56" l="1"/>
  <c r="I73" i="56" s="1"/>
  <c r="I76" i="56" s="1"/>
  <c r="I79" i="55"/>
  <c r="I83" i="55" s="1"/>
  <c r="I86" i="55" s="1"/>
  <c r="I69" i="99"/>
  <c r="I73" i="99" s="1"/>
  <c r="I76" i="99" s="1"/>
  <c r="I78" i="99" l="1"/>
  <c r="I82" i="99" s="1"/>
  <c r="I88" i="55"/>
  <c r="I91" i="55" s="1"/>
  <c r="I78" i="56"/>
  <c r="I82" i="56" s="1"/>
  <c r="I84" i="99" l="1"/>
  <c r="I87" i="99" s="1"/>
  <c r="H8" i="163"/>
  <c r="I93" i="55"/>
  <c r="I96" i="55" s="1"/>
  <c r="I84" i="56"/>
  <c r="I87" i="56" s="1"/>
  <c r="I89" i="56" l="1"/>
  <c r="I91" i="56" s="1"/>
  <c r="I98" i="55"/>
  <c r="I100" i="55" s="1"/>
  <c r="G8" i="163"/>
  <c r="F8" i="163"/>
  <c r="I91" i="99"/>
  <c r="I89" i="99"/>
  <c r="H11" i="163" l="1"/>
</calcChain>
</file>

<file path=xl/sharedStrings.xml><?xml version="1.0" encoding="utf-8"?>
<sst xmlns="http://schemas.openxmlformats.org/spreadsheetml/2006/main" count="433" uniqueCount="212">
  <si>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</si>
  <si>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</si>
  <si>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</si>
  <si>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</si>
  <si>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</si>
  <si>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</si>
  <si>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</si>
  <si>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</si>
  <si>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</si>
  <si>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</si>
  <si>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</si>
  <si>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</si>
  <si>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</si>
  <si>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</si>
  <si>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</si>
  <si>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</si>
  <si>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</si>
  <si>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</si>
  <si>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</si>
  <si>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</si>
  <si>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</si>
  <si>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</si>
  <si>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</si>
  <si>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</si>
  <si>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</si>
  <si>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</si>
  <si>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</si>
  <si>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</si>
  <si>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</si>
  <si>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</si>
  <si>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</si>
  <si>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</si>
  <si>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</si>
  <si>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</si>
  <si>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</si>
  <si>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</si>
  <si>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</si>
  <si>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</si>
  <si>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</si>
  <si>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</si>
  <si>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</si>
  <si>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</si>
  <si>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</si>
  <si>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</si>
  <si>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</si>
  <si>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</si>
  <si>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</si>
  <si>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</si>
  <si>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</si>
  <si>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</si>
  <si>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</si>
  <si>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</si>
  <si>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</si>
  <si>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</si>
  <si>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</si>
  <si>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1 bis 3</t>
  </si>
  <si>
    <t>6 bis 42</t>
  </si>
  <si>
    <t xml:space="preserve">          Mitwirkung an der Vergabe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</si>
  <si>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</si>
  <si>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</si>
  <si>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t>LPH 8 Fachbauaufsicht + Dokumentation</t>
  </si>
  <si>
    <t xml:space="preserve">%-Satz für TA </t>
  </si>
  <si>
    <t>ERK %</t>
  </si>
  <si>
    <t>Anforderungsmerkmale/Bewertungspunkte</t>
  </si>
  <si>
    <r>
      <t>%-Satz für GPb [h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= (-0,0778 x LN(BMGL) + 2,022)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</si>
  <si>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0,0198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+ 0,9406]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</si>
  <si>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</si>
  <si>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r>
      <t>&lt;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40,00 x (BMGL)</t>
    </r>
    <r>
      <rPr>
        <vertAlign val="superscript"/>
        <sz val="10"/>
        <rFont val="Arial"/>
        <family val="2"/>
      </rPr>
      <t>(-0,1208)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</si>
  <si>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12,2611 x (BMGL)</t>
    </r>
    <r>
      <rPr>
        <vertAlign val="superscript"/>
        <sz val="10"/>
        <rFont val="Arial"/>
        <family val="2"/>
      </rPr>
      <t>(-0,0394)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</si>
  <si>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Vergütung VOA = BMGL x 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</si>
  <si>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</si>
  <si>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</si>
  <si>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 xml:space="preserve">               </t>
  </si>
  <si>
    <r>
      <rPr>
        <b/>
        <sz val="8"/>
        <color indexed="8"/>
        <rFont val="Arial"/>
        <family val="2"/>
      </rPr>
      <t>Generalplaner Management 2.b</t>
    </r>
    <r>
      <rPr>
        <sz val="8"/>
        <color indexed="8"/>
        <rFont val="Arial"/>
        <family val="2"/>
      </rPr>
      <t xml:space="preserve">                              nach VM.GP.2014</t>
    </r>
  </si>
  <si>
    <t>%-Satz für OA (Planung + ÖBA)</t>
  </si>
  <si>
    <t>LPH 1 Grundlagenanalyse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</si>
  <si>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</si>
  <si>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Ermittlung Bemessungsgrundlage (BMGL)</t>
  </si>
  <si>
    <t>(PL + ÖBA)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</si>
  <si>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</si>
  <si>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Stundenpool (optionale Leistungen)</t>
  </si>
  <si>
    <t xml:space="preserve">KGR 1-9 ERRICHTUNGSKOSTEN    </t>
  </si>
  <si>
    <t xml:space="preserve">KGR 1-6 BAUKOSTEN                   </t>
  </si>
  <si>
    <t xml:space="preserve">KGR 2-4 BAUWERKSKOSTEN         </t>
  </si>
  <si>
    <t xml:space="preserve">Projekt: </t>
  </si>
  <si>
    <t>KGR</t>
  </si>
  <si>
    <t>MITZUVERARBEITENDE BAUSUBSTANZ</t>
  </si>
  <si>
    <t>BRI</t>
  </si>
  <si>
    <t>geschätzter Wert</t>
  </si>
  <si>
    <t>mvB = BRI x 50-60 €/m³</t>
  </si>
  <si>
    <t>Gewerkehauptgruppen</t>
  </si>
  <si>
    <t>GRUND</t>
  </si>
  <si>
    <r>
      <t xml:space="preserve">NEBENKOSTEN </t>
    </r>
    <r>
      <rPr>
        <sz val="9"/>
        <rFont val="Arial"/>
        <family val="2"/>
      </rPr>
      <t>(Bewilligungen, Anschl.geb., …)</t>
    </r>
  </si>
  <si>
    <t>Übersiedelungsgut</t>
  </si>
  <si>
    <t>BK %</t>
  </si>
  <si>
    <t>Ö Norm
B 1801</t>
  </si>
  <si>
    <t>3. 01</t>
  </si>
  <si>
    <t>3. 02</t>
  </si>
  <si>
    <t>3. 03</t>
  </si>
  <si>
    <t>3. 04</t>
  </si>
  <si>
    <t>3. 05</t>
  </si>
  <si>
    <t>3. 06</t>
  </si>
  <si>
    <t>3. 07</t>
  </si>
  <si>
    <t>3. 08</t>
  </si>
  <si>
    <t>5. 01</t>
  </si>
  <si>
    <t>5. 02</t>
  </si>
  <si>
    <t>(A) Projekt über 100 Mio €</t>
  </si>
  <si>
    <t>(B) mehr als 20 Nutzer, Planungsbeteiligte</t>
  </si>
  <si>
    <t>(C) starke terminliche Verdichtung</t>
  </si>
  <si>
    <t>(D) starke terminliche Verdichtung</t>
  </si>
  <si>
    <t xml:space="preserve">(A) Kostendeckel Wiederholungen </t>
  </si>
  <si>
    <t xml:space="preserve">(D) Kostendeckel Wiederholungen </t>
  </si>
  <si>
    <t xml:space="preserve">(A) mehr als 50 Ausführungsbeteiligte </t>
  </si>
  <si>
    <t>4 bis 7</t>
  </si>
  <si>
    <t>3 bis 5</t>
  </si>
  <si>
    <t>Nachlass / Aufschlag</t>
  </si>
  <si>
    <t xml:space="preserve">(B) mehr als 50 Ausführungsbeteiligte </t>
  </si>
  <si>
    <t xml:space="preserve">(C) vertiefte Kostenschätzung </t>
  </si>
  <si>
    <t>(C) vertiefte Kostenberechnung</t>
  </si>
  <si>
    <t>(C) vertiefte Kostensteuerung (MW)</t>
  </si>
  <si>
    <t>(D) vertiefte Terminplanung und Kontrolle (MW)</t>
  </si>
  <si>
    <t>(_) Mitwirkung Kostenmanagement</t>
  </si>
  <si>
    <t>2 bis 4</t>
  </si>
  <si>
    <t>5 bis 9</t>
  </si>
  <si>
    <t>5 bis 7</t>
  </si>
  <si>
    <t>4 bis 6</t>
  </si>
  <si>
    <t>12 bis 16</t>
  </si>
  <si>
    <t>10 bis 12</t>
  </si>
  <si>
    <t>4 bis 8</t>
  </si>
  <si>
    <t>optionale Leistungen</t>
  </si>
  <si>
    <t xml:space="preserve">NEBENKOSTEN </t>
  </si>
  <si>
    <t>PLANUNGSLEISTUNGEN</t>
  </si>
  <si>
    <t>BAUWERK – TECHNIK (Abminderung)</t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</si>
  <si>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/>
    </r>
  </si>
  <si>
    <r>
      <t>(f</t>
    </r>
    <r>
      <rPr>
        <vertAlign val="subscript"/>
        <sz val="10"/>
        <color indexed="23"/>
        <rFont val="Arial"/>
        <family val="2"/>
      </rPr>
      <t>LPH</t>
    </r>
    <r>
      <rPr>
        <sz val="10"/>
        <color indexed="23"/>
        <rFont val="Arial"/>
        <family val="2"/>
      </rPr>
      <t xml:space="preserve"> = 100%)</t>
    </r>
  </si>
  <si>
    <t>Leistungsphasen</t>
  </si>
  <si>
    <t>Vergütungsermittlung / Honorarsatz</t>
  </si>
  <si>
    <t>Vergütungsermittlung / Honorar</t>
  </si>
  <si>
    <r>
      <t>(f</t>
    </r>
    <r>
      <rPr>
        <vertAlign val="subscript"/>
        <sz val="10"/>
        <color indexed="23"/>
        <rFont val="Arial"/>
        <family val="2"/>
      </rPr>
      <t>LPH</t>
    </r>
    <r>
      <rPr>
        <sz val="10"/>
        <color indexed="23"/>
        <rFont val="Arial"/>
        <family val="2"/>
      </rPr>
      <t xml:space="preserve"> = 100%)</t>
    </r>
  </si>
  <si>
    <t>(A) Kostendeckel</t>
  </si>
  <si>
    <t>(B) mehr als 50 beteiligte ausführende Unternehmen</t>
  </si>
  <si>
    <t>(D) Kostendeckel</t>
  </si>
  <si>
    <t>(B) mehr als 20 Planungsbeteiligte</t>
  </si>
  <si>
    <t>( ) Mitwirkung an vertieften Kostenplanung</t>
  </si>
  <si>
    <t>( ) Mitwirkung an vertieften Terminplanung</t>
  </si>
  <si>
    <t>Planungsleistungen</t>
  </si>
  <si>
    <r>
      <t>Prozentsatz d. beauftr.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</si>
  <si>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Vergütung VTA = BMGL x h</t>
    </r>
    <r>
      <rPr>
        <vertAlign val="subscript"/>
        <sz val="10"/>
        <rFont val="Arial"/>
        <family val="2"/>
      </rPr>
      <t>TA</t>
    </r>
  </si>
  <si>
    <t>Summe Technische Ausrüstung - HKLS ohne Nebenkosten</t>
  </si>
  <si>
    <t>Summe Technische Ausrüstung - HKLS netto inkl. NK ohne NL</t>
  </si>
  <si>
    <t>Summe Technische Ausrüstung - HKLS netto inkl. NK und NL</t>
  </si>
  <si>
    <t xml:space="preserve">Summe Technische Ausrüstung - HKLS brutto </t>
  </si>
  <si>
    <t>Detailaufgliederung der Leistungen 
(netto, inkl. Nebenkosten)</t>
  </si>
  <si>
    <t>Objektplanung Architektur</t>
  </si>
  <si>
    <t>Technische Ausrüstung - HKLS</t>
  </si>
  <si>
    <t>Zusammenstellung der LB.Gesamtabwicklung</t>
  </si>
  <si>
    <t>Z</t>
  </si>
  <si>
    <t>5. 03</t>
  </si>
  <si>
    <t>5. 04</t>
  </si>
  <si>
    <t>Einbaumöbel</t>
  </si>
  <si>
    <t>Serienmöbel</t>
  </si>
  <si>
    <t>Summe Generalplaner Mangement ohne Nebenkosten</t>
  </si>
  <si>
    <t>Summe Generalplaner Management inkl. NK ohne NL</t>
  </si>
  <si>
    <t>Summe Generalplaner Management netto inkl. NK und NL</t>
  </si>
  <si>
    <t xml:space="preserve">Summe Generalplaner Management brutto </t>
  </si>
  <si>
    <t>Summe Objektplanung Architekt ohne Nebenkosten</t>
  </si>
  <si>
    <t>Summe Objektplanung Architekt netto inkl. NK ohne NL</t>
  </si>
  <si>
    <t>Summe Objektplanung Architekt netto inkl. NK und NL</t>
  </si>
  <si>
    <t>Summe Objektplanung Architekt brutto</t>
  </si>
  <si>
    <r>
      <rPr>
        <b/>
        <sz val="8"/>
        <color indexed="8"/>
        <rFont val="Arial"/>
        <family val="2"/>
      </rPr>
      <t>Generalplaner Leitung 2.a</t>
    </r>
    <r>
      <rPr>
        <sz val="8"/>
        <color indexed="8"/>
        <rFont val="Arial"/>
        <family val="2"/>
      </rPr>
      <t xml:space="preserve">                              nach VM.GP.2014</t>
    </r>
  </si>
  <si>
    <r>
      <t>Vergütung VGPa = BMGL x 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LPH</t>
    </r>
  </si>
  <si>
    <r>
      <t>Vergütung VGPa = BMGL x h</t>
    </r>
    <r>
      <rPr>
        <vertAlign val="subscript"/>
        <sz val="10"/>
        <rFont val="Arial"/>
        <family val="2"/>
      </rPr>
      <t>GPa</t>
    </r>
  </si>
  <si>
    <t>Summe</t>
  </si>
  <si>
    <t>Summe Generalplaner Leitung ohne Nebenkosten</t>
  </si>
  <si>
    <t>Summe Generalplaner Leitung inkl. NK ohne NL</t>
  </si>
  <si>
    <t>Summe Generalplaner Leitung netto inkl. NK und NL</t>
  </si>
  <si>
    <t xml:space="preserve">Summe Generalplaner Leitung brutto </t>
  </si>
  <si>
    <r>
      <t>%-Satz für GPa [h</t>
    </r>
    <r>
      <rPr>
        <vertAlign val="subscript"/>
        <sz val="10"/>
        <rFont val="Arial"/>
        <family val="2"/>
      </rPr>
      <t>GPa</t>
    </r>
    <r>
      <rPr>
        <sz val="10"/>
        <rFont val="Arial"/>
        <family val="2"/>
      </rPr>
      <t xml:space="preserve"> = (-0,0466 x LN(BMGL) + 1,213)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</si>
  <si>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Modelle, Schaubilder</t>
  </si>
  <si>
    <t>Wandabwicklungen</t>
  </si>
  <si>
    <t>Wirtschaftlichkeit LCC</t>
  </si>
  <si>
    <t xml:space="preserve">Raumbuch </t>
  </si>
  <si>
    <t>Wartungsplanung</t>
  </si>
  <si>
    <t>Optionale Leistungen - Beispiele:</t>
  </si>
  <si>
    <t>Zusatzgenehm., Fertigstellung</t>
  </si>
  <si>
    <t>Fortschreiben Kostenpla. LPH 5</t>
  </si>
  <si>
    <t>Übergabepläne, Bestandspläne</t>
  </si>
  <si>
    <t>CAD-Files</t>
  </si>
  <si>
    <t>Fertigstellungsanzeige</t>
  </si>
  <si>
    <t>Einschulungen</t>
  </si>
  <si>
    <t>Kostenfeststellung</t>
  </si>
  <si>
    <t>Projektdoku</t>
  </si>
  <si>
    <t xml:space="preserve">Berechnung entweder nach GP 2.a oder nach GP 2.b - keinesfalls beide </t>
  </si>
  <si>
    <t>3. 07.1</t>
  </si>
  <si>
    <t>Medizintechnik</t>
  </si>
  <si>
    <t>.07.1</t>
  </si>
  <si>
    <t>Detailaufgliederung der Einzelkapitel</t>
  </si>
  <si>
    <r>
      <rPr>
        <b/>
        <sz val="11"/>
        <color indexed="56"/>
        <rFont val="Arial"/>
        <family val="2"/>
      </rPr>
      <t>&lt;</t>
    </r>
    <r>
      <rPr>
        <sz val="6.5"/>
        <color indexed="56"/>
        <rFont val="Arial"/>
        <family val="2"/>
      </rPr>
      <t xml:space="preserve">  </t>
    </r>
    <r>
      <rPr>
        <sz val="8"/>
        <color indexed="56"/>
        <rFont val="Arial"/>
        <family val="2"/>
      </rPr>
      <t xml:space="preserve">wenn KGR3 &gt; 50% von KGR2+KGR4 
     → Abminderung BMGL KGR3
     wenn KGR3 &lt; 50% von KGR2+KGR4 
     → KGR 3 fließt zu 100% in BMGL ein </t>
    </r>
  </si>
  <si>
    <t>% Anteil an ERK</t>
  </si>
  <si>
    <t>% Anteil an BK</t>
  </si>
  <si>
    <t>Neubau</t>
  </si>
  <si>
    <r>
      <rPr>
        <b/>
        <sz val="11"/>
        <color indexed="8"/>
        <rFont val="Arial"/>
        <family val="2"/>
      </rPr>
      <t xml:space="preserve">Objektplanung Architektur
</t>
    </r>
    <r>
      <rPr>
        <sz val="11"/>
        <color indexed="8"/>
        <rFont val="Arial"/>
        <family val="2"/>
      </rPr>
      <t>nach VM.OA.2014</t>
    </r>
  </si>
  <si>
    <t>Koordination TGA</t>
  </si>
  <si>
    <r>
      <rPr>
        <b/>
        <sz val="11"/>
        <color indexed="8"/>
        <rFont val="Arial"/>
        <family val="2"/>
      </rPr>
      <t>Technische Ausrüstung HKLS</t>
    </r>
    <r>
      <rPr>
        <sz val="11"/>
        <color indexed="8"/>
        <rFont val="Arial"/>
        <family val="2"/>
      </rPr>
      <t xml:space="preserve">                             
nach VM.TA.2014</t>
    </r>
  </si>
  <si>
    <t>Musterprojekt PKL 3 - Aufgliederung der Gesamtkosten</t>
  </si>
  <si>
    <t>Umbau</t>
  </si>
  <si>
    <t>mitzuverarbeitende Bausubstanz</t>
  </si>
  <si>
    <t>1/2 von 2+4</t>
  </si>
  <si>
    <t>Delta zu 3</t>
  </si>
  <si>
    <t>1/2 des Deltas</t>
  </si>
  <si>
    <t>Summe LB.Generalpaner netto inkl. NK</t>
  </si>
  <si>
    <r>
      <rPr>
        <b/>
        <sz val="8"/>
        <color indexed="10"/>
        <rFont val="Arial"/>
        <family val="2"/>
      </rPr>
      <t>&lt;</t>
    </r>
    <r>
      <rPr>
        <sz val="8"/>
        <color indexed="10"/>
        <rFont val="Arial"/>
        <family val="2"/>
      </rPr>
      <t xml:space="preserve">  aus Summenblatt nachtragen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</si>
</sst>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_-* #,##0.00_-;\-* #,##0.00_-;_-* &quot;-&quot;??_-;_-@_-"/>
    <numFmt numFmtId="167" formatCode="#"/>
    <numFmt numFmtId="168" formatCode="&quot;.&quot;0#"/>
    <numFmt numFmtId="169" formatCode="0.000%"/>
    <numFmt numFmtId="170" formatCode="#,##0&quot; öS&quot;"/>
    <numFmt numFmtId="171" formatCode="#,##0&quot; €&quot;"/>
    <numFmt numFmtId="172" formatCode="_-* #,##0.0000_-;\-* #,##0.0000_-;_-* &quot;-&quot;??_-;_-@_-"/>
    <numFmt numFmtId="173" formatCode="0.0%"/>
    <numFmt numFmtId="174" formatCode="#,##0\ &quot;m³&quot;"/>
    <numFmt numFmtId="175" formatCode="#,##0\ &quot;h&quot;"/>
    <numFmt numFmtId="176" formatCode="#,##0.00\ &quot;€/h&quot;"/>
    <numFmt numFmtId="177" formatCode="&quot;m³&quot;"/>
    <numFmt numFmtId="178" formatCode="_-&quot;ATS&quot;\ * #,##0.00_-;\-&quot;ATS&quot;\ * #,##0.00_-;"/>
    <numFmt numFmtId="179" formatCode="#,##0.00_ ;\-#,##0.00\ ;"/>
    <numFmt numFmtId="180" formatCode="&quot;ATS&quot;* \ 0.000\ &quot;Mio.&quot;;;"/>
    <numFmt numFmtId="181" formatCode="0.000\ &quot;Mio.&quot;;;"/>
    <numFmt numFmtId="182" formatCode="_-&quot;€&quot;\ * #,##0_-;\-&quot;€&quot;\ * #,##0_-;_-&quot;€&quot;\ * &quot;-&quot;??_-;_-@_-"/>
    <numFmt numFmtId="183" formatCode="#,##0\ &quot;€ / m³&quot;"/>
  </numFmts>
  <fonts count="7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i/>
      <sz val="9"/>
      <color indexed="8"/>
      <name val="Arial"/>
      <family val="2"/>
    </font>
    <font>
      <vertAlign val="subscript"/>
      <sz val="10"/>
      <color indexed="23"/>
      <name val="Arial"/>
      <family val="2"/>
    </font>
    <font>
      <b/>
      <sz val="13"/>
      <name val="Calibri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6.5"/>
      <color indexed="56"/>
      <name val="Arial"/>
      <family val="2"/>
    </font>
    <font>
      <b/>
      <sz val="11"/>
      <color indexed="56"/>
      <name val="Arial"/>
      <family val="2"/>
    </font>
    <font>
      <sz val="8"/>
      <color indexed="56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9"/>
      <color theme="0" tint="-0.499984740745262"/>
      <name val="Arial"/>
      <family val="2"/>
    </font>
    <font>
      <sz val="9"/>
      <color theme="1" tint="0.499984740745262"/>
      <name val="Arial"/>
      <family val="2"/>
    </font>
    <font>
      <sz val="10"/>
      <color theme="0" tint="-0.249977111117893"/>
      <name val="Arial"/>
      <family val="2"/>
    </font>
    <font>
      <i/>
      <sz val="10"/>
      <color theme="0" tint="-0.34998626667073579"/>
      <name val="Arial"/>
      <family val="2"/>
    </font>
    <font>
      <i/>
      <sz val="10"/>
      <color theme="0" tint="-0.24994659260841701"/>
      <name val="Arial"/>
      <family val="2"/>
    </font>
    <font>
      <i/>
      <sz val="10"/>
      <color theme="0" tint="-0.249977111117893"/>
      <name val="Arial"/>
      <family val="2"/>
    </font>
    <font>
      <i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i/>
      <sz val="10"/>
      <color theme="4"/>
      <name val="Arial"/>
      <family val="2"/>
    </font>
    <font>
      <sz val="8"/>
      <color theme="3"/>
      <name val="Arial"/>
      <family val="2"/>
    </font>
    <font>
      <u/>
      <sz val="8"/>
      <color theme="3"/>
      <name val="Arial"/>
      <family val="2"/>
    </font>
    <font>
      <sz val="12"/>
      <color theme="0" tint="-0.499984740745262"/>
      <name val="Arial"/>
      <family val="2"/>
    </font>
    <font>
      <sz val="6.5"/>
      <color theme="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hair">
        <color theme="3"/>
      </bottom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hair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</borders>
  <cellStyleXfs count="50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9" fillId="8" borderId="8" applyNumberFormat="0" applyAlignment="0" applyProtection="0"/>
    <xf numFmtId="0" fontId="40" fillId="8" borderId="9" applyNumberFormat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1" fillId="9" borderId="9" applyNumberFormat="0" applyAlignment="0" applyProtection="0"/>
    <xf numFmtId="0" fontId="42" fillId="0" borderId="10" applyNumberFormat="0" applyFill="0" applyAlignment="0" applyProtection="0"/>
    <xf numFmtId="0" fontId="4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3" fontId="5" fillId="10" borderId="1"/>
    <xf numFmtId="0" fontId="44" fillId="11" borderId="0" applyNumberFormat="0" applyBorder="0" applyAlignment="0" applyProtection="0"/>
    <xf numFmtId="178" fontId="2" fillId="0" borderId="0" applyFont="0" applyFill="0" applyBorder="0" applyAlignment="0" applyProtection="0"/>
    <xf numFmtId="179" fontId="2" fillId="0" borderId="2" applyFont="0" applyFill="0" applyBorder="0" applyAlignment="0" applyProtection="0"/>
    <xf numFmtId="166" fontId="37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3" applyFont="0" applyFill="0" applyBorder="0" applyAlignment="0" applyProtection="0"/>
    <xf numFmtId="0" fontId="45" fillId="12" borderId="0" applyNumberFormat="0" applyBorder="0" applyAlignment="0" applyProtection="0"/>
    <xf numFmtId="0" fontId="37" fillId="13" borderId="11" applyNumberFormat="0" applyFont="0" applyAlignment="0" applyProtection="0"/>
    <xf numFmtId="9" fontId="3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14" borderId="0" applyNumberFormat="0" applyBorder="0" applyAlignment="0" applyProtection="0"/>
    <xf numFmtId="0" fontId="37" fillId="0" borderId="0"/>
    <xf numFmtId="0" fontId="2" fillId="0" borderId="0"/>
    <xf numFmtId="0" fontId="4" fillId="0" borderId="0"/>
    <xf numFmtId="0" fontId="37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7" fillId="0" borderId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5" applyNumberFormat="0" applyFill="0" applyAlignment="0" applyProtection="0"/>
    <xf numFmtId="0" fontId="52" fillId="0" borderId="0" applyNumberFormat="0" applyFill="0" applyBorder="0" applyAlignment="0" applyProtection="0"/>
    <xf numFmtId="0" fontId="53" fillId="15" borderId="16" applyNumberFormat="0" applyAlignment="0" applyProtection="0"/>
  </cellStyleXfs>
  <cellXfs count="521">
    <xf numFmtId="0" fontId="0" fillId="0" borderId="0" xfId="0"/>
    <xf numFmtId="0" fontId="5" fillId="0" borderId="0" xfId="41" applyFont="1" applyFill="1" applyBorder="1" applyProtection="1"/>
    <xf numFmtId="0" fontId="6" fillId="0" borderId="0" xfId="41" applyFont="1" applyFill="1" applyBorder="1" applyAlignment="1" applyProtection="1">
      <alignment vertical="center"/>
    </xf>
    <xf numFmtId="3" fontId="5" fillId="0" borderId="0" xfId="41" applyNumberFormat="1" applyFont="1" applyFill="1" applyBorder="1" applyAlignment="1" applyProtection="1">
      <alignment vertical="center"/>
    </xf>
    <xf numFmtId="1" fontId="5" fillId="0" borderId="0" xfId="41" applyNumberFormat="1" applyFont="1" applyFill="1" applyBorder="1" applyAlignment="1" applyProtection="1">
      <alignment horizontal="left"/>
    </xf>
    <xf numFmtId="167" fontId="5" fillId="0" borderId="0" xfId="41" applyNumberFormat="1" applyFont="1" applyFill="1" applyBorder="1" applyAlignment="1" applyProtection="1">
      <alignment horizontal="left"/>
    </xf>
    <xf numFmtId="168" fontId="5" fillId="0" borderId="0" xfId="41" applyNumberFormat="1" applyFont="1" applyFill="1" applyBorder="1" applyAlignment="1" applyProtection="1">
      <alignment horizontal="left"/>
    </xf>
    <xf numFmtId="0" fontId="6" fillId="0" borderId="0" xfId="41" applyFont="1" applyAlignment="1" applyProtection="1">
      <alignment horizontal="left"/>
    </xf>
    <xf numFmtId="0" fontId="5" fillId="0" borderId="0" xfId="41" applyFont="1" applyProtection="1"/>
    <xf numFmtId="10" fontId="5" fillId="0" borderId="0" xfId="41" applyNumberFormat="1" applyFont="1" applyAlignment="1" applyProtection="1">
      <alignment horizontal="right"/>
    </xf>
    <xf numFmtId="3" fontId="5" fillId="0" borderId="0" xfId="41" applyNumberFormat="1" applyFont="1" applyAlignment="1" applyProtection="1">
      <alignment horizontal="right"/>
    </xf>
    <xf numFmtId="0" fontId="13" fillId="0" borderId="0" xfId="41" applyFont="1" applyFill="1" applyBorder="1" applyAlignment="1" applyProtection="1">
      <alignment vertical="center"/>
    </xf>
    <xf numFmtId="0" fontId="14" fillId="0" borderId="0" xfId="41" applyFont="1" applyFill="1" applyBorder="1" applyAlignment="1" applyProtection="1">
      <alignment vertical="center"/>
    </xf>
    <xf numFmtId="0" fontId="6" fillId="0" borderId="0" xfId="41" applyFont="1" applyBorder="1" applyAlignment="1" applyProtection="1">
      <alignment horizontal="left"/>
    </xf>
    <xf numFmtId="0" fontId="5" fillId="0" borderId="0" xfId="41" applyFont="1" applyBorder="1" applyProtection="1"/>
    <xf numFmtId="3" fontId="5" fillId="0" borderId="0" xfId="41" applyNumberFormat="1" applyFont="1" applyBorder="1" applyAlignment="1" applyProtection="1">
      <alignment horizontal="right"/>
    </xf>
    <xf numFmtId="10" fontId="14" fillId="0" borderId="0" xfId="41" applyNumberFormat="1" applyFont="1" applyFill="1" applyBorder="1" applyAlignment="1" applyProtection="1">
      <alignment horizontal="center" vertical="center"/>
    </xf>
    <xf numFmtId="1" fontId="5" fillId="0" borderId="0" xfId="41" applyNumberFormat="1" applyFont="1" applyFill="1" applyBorder="1" applyAlignment="1" applyProtection="1">
      <alignment horizontal="center"/>
    </xf>
    <xf numFmtId="3" fontId="5" fillId="0" borderId="0" xfId="41" applyNumberFormat="1" applyFont="1" applyFill="1" applyBorder="1" applyAlignment="1" applyProtection="1">
      <alignment horizontal="right"/>
    </xf>
    <xf numFmtId="10" fontId="5" fillId="0" borderId="0" xfId="41" applyNumberFormat="1" applyFont="1" applyBorder="1" applyAlignment="1" applyProtection="1">
      <alignment horizontal="right"/>
    </xf>
    <xf numFmtId="0" fontId="15" fillId="0" borderId="0" xfId="41" applyFont="1" applyFill="1" applyBorder="1" applyProtection="1"/>
    <xf numFmtId="0" fontId="5" fillId="0" borderId="0" xfId="41" applyFont="1" applyFill="1" applyBorder="1" applyAlignment="1" applyProtection="1">
      <alignment vertical="top"/>
    </xf>
    <xf numFmtId="0" fontId="5" fillId="0" borderId="0" xfId="41" applyFont="1" applyAlignment="1" applyProtection="1">
      <alignment vertical="top"/>
    </xf>
    <xf numFmtId="0" fontId="6" fillId="0" borderId="0" xfId="41" applyFont="1" applyAlignment="1" applyProtection="1">
      <alignment vertical="top"/>
    </xf>
    <xf numFmtId="0" fontId="2" fillId="0" borderId="0" xfId="37" applyFont="1" applyBorder="1" applyAlignment="1" applyProtection="1">
      <alignment vertical="center"/>
    </xf>
    <xf numFmtId="0" fontId="2" fillId="0" borderId="4" xfId="37" applyFont="1" applyBorder="1" applyAlignment="1" applyProtection="1">
      <alignment vertical="center"/>
    </xf>
    <xf numFmtId="0" fontId="2" fillId="0" borderId="5" xfId="37" applyFont="1" applyBorder="1" applyAlignment="1" applyProtection="1">
      <alignment vertical="center"/>
    </xf>
    <xf numFmtId="0" fontId="2" fillId="0" borderId="0" xfId="37" applyFont="1" applyAlignment="1" applyProtection="1">
      <alignment vertical="center"/>
    </xf>
    <xf numFmtId="3" fontId="6" fillId="0" borderId="0" xfId="41" applyNumberFormat="1" applyFont="1" applyFill="1" applyBorder="1" applyAlignment="1" applyProtection="1">
      <alignment vertical="top" wrapText="1"/>
      <protection locked="0"/>
    </xf>
    <xf numFmtId="3" fontId="5" fillId="0" borderId="0" xfId="41" applyNumberFormat="1" applyFont="1" applyFill="1" applyBorder="1" applyAlignment="1" applyProtection="1"/>
    <xf numFmtId="0" fontId="0" fillId="0" borderId="0" xfId="0" applyFill="1"/>
    <xf numFmtId="0" fontId="2" fillId="0" borderId="0" xfId="37" applyFont="1" applyProtection="1"/>
    <xf numFmtId="0" fontId="2" fillId="0" borderId="0" xfId="37" applyFont="1" applyAlignment="1" applyProtection="1">
      <alignment horizontal="right"/>
    </xf>
    <xf numFmtId="169" fontId="2" fillId="0" borderId="0" xfId="37" applyNumberFormat="1" applyFont="1" applyProtection="1"/>
    <xf numFmtId="170" fontId="7" fillId="0" borderId="0" xfId="37" applyNumberFormat="1" applyFont="1" applyFill="1" applyBorder="1" applyProtection="1"/>
    <xf numFmtId="0" fontId="2" fillId="0" borderId="0" xfId="37" applyFont="1" applyFill="1" applyBorder="1" applyProtection="1"/>
    <xf numFmtId="0" fontId="2" fillId="0" borderId="0" xfId="37" applyFont="1" applyBorder="1" applyProtection="1"/>
    <xf numFmtId="10" fontId="2" fillId="0" borderId="0" xfId="37" applyNumberFormat="1" applyFont="1" applyFill="1" applyAlignment="1" applyProtection="1">
      <alignment horizontal="right"/>
    </xf>
    <xf numFmtId="0" fontId="2" fillId="0" borderId="0" xfId="37" applyFont="1" applyFill="1" applyBorder="1" applyAlignment="1" applyProtection="1"/>
    <xf numFmtId="0" fontId="2" fillId="0" borderId="0" xfId="37" applyFont="1" applyFill="1" applyBorder="1" applyAlignment="1" applyProtection="1">
      <alignment vertical="center"/>
    </xf>
    <xf numFmtId="171" fontId="9" fillId="0" borderId="0" xfId="37" applyNumberFormat="1" applyFont="1" applyFill="1" applyBorder="1" applyAlignment="1" applyProtection="1">
      <alignment vertical="center"/>
    </xf>
    <xf numFmtId="0" fontId="5" fillId="0" borderId="0" xfId="41" applyFont="1" applyFill="1" applyProtection="1"/>
    <xf numFmtId="0" fontId="0" fillId="0" borderId="0" xfId="0" applyBorder="1"/>
    <xf numFmtId="0" fontId="0" fillId="0" borderId="0" xfId="0" applyFill="1" applyBorder="1"/>
    <xf numFmtId="3" fontId="14" fillId="0" borderId="0" xfId="41" applyNumberFormat="1" applyFont="1" applyFill="1" applyBorder="1" applyAlignment="1" applyProtection="1">
      <alignment horizontal="center" vertical="center"/>
    </xf>
    <xf numFmtId="0" fontId="5" fillId="0" borderId="0" xfId="41" applyFont="1" applyFill="1" applyAlignment="1" applyProtection="1">
      <alignment vertical="top"/>
    </xf>
    <xf numFmtId="10" fontId="5" fillId="0" borderId="0" xfId="41" applyNumberFormat="1" applyFont="1" applyFill="1" applyBorder="1" applyProtection="1"/>
    <xf numFmtId="0" fontId="8" fillId="0" borderId="0" xfId="41" applyFont="1" applyFill="1" applyBorder="1" applyProtection="1"/>
    <xf numFmtId="3" fontId="9" fillId="0" borderId="0" xfId="41" applyNumberFormat="1" applyFont="1" applyFill="1" applyBorder="1" applyAlignment="1" applyProtection="1">
      <protection locked="0"/>
    </xf>
    <xf numFmtId="3" fontId="8" fillId="0" borderId="0" xfId="41" applyNumberFormat="1" applyFont="1" applyFill="1" applyBorder="1" applyAlignment="1" applyProtection="1"/>
    <xf numFmtId="0" fontId="5" fillId="0" borderId="4" xfId="41" applyFont="1" applyFill="1" applyBorder="1" applyProtection="1"/>
    <xf numFmtId="0" fontId="5" fillId="0" borderId="5" xfId="41" applyFont="1" applyFill="1" applyBorder="1" applyProtection="1"/>
    <xf numFmtId="10" fontId="5" fillId="0" borderId="0" xfId="41" applyNumberFormat="1" applyFont="1" applyFill="1" applyAlignment="1" applyProtection="1">
      <alignment horizontal="right"/>
    </xf>
    <xf numFmtId="0" fontId="5" fillId="0" borderId="0" xfId="41" applyFont="1" applyFill="1" applyBorder="1" applyAlignment="1" applyProtection="1">
      <alignment horizontal="left"/>
    </xf>
    <xf numFmtId="3" fontId="5" fillId="0" borderId="0" xfId="41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left"/>
    </xf>
    <xf numFmtId="10" fontId="5" fillId="0" borderId="0" xfId="41" applyNumberFormat="1" applyFont="1" applyFill="1" applyBorder="1" applyAlignment="1" applyProtection="1">
      <alignment horizontal="right"/>
    </xf>
    <xf numFmtId="0" fontId="3" fillId="0" borderId="0" xfId="12" applyFont="1" applyFill="1" applyBorder="1" applyAlignment="1">
      <alignment horizontal="center" vertical="center"/>
    </xf>
    <xf numFmtId="3" fontId="5" fillId="0" borderId="0" xfId="41" applyNumberFormat="1" applyFont="1" applyFill="1" applyAlignment="1" applyProtection="1">
      <alignment horizontal="right"/>
    </xf>
    <xf numFmtId="0" fontId="6" fillId="0" borderId="4" xfId="41" applyFont="1" applyBorder="1" applyAlignment="1" applyProtection="1">
      <alignment horizontal="left"/>
    </xf>
    <xf numFmtId="0" fontId="6" fillId="0" borderId="5" xfId="41" applyFont="1" applyBorder="1" applyAlignment="1" applyProtection="1">
      <alignment horizontal="left"/>
    </xf>
    <xf numFmtId="10" fontId="16" fillId="0" borderId="0" xfId="41" applyNumberFormat="1" applyFont="1" applyFill="1" applyBorder="1" applyAlignment="1" applyProtection="1">
      <alignment horizontal="left" wrapText="1"/>
    </xf>
    <xf numFmtId="3" fontId="8" fillId="0" borderId="0" xfId="41" applyNumberFormat="1" applyFont="1" applyFill="1" applyBorder="1" applyAlignment="1" applyProtection="1">
      <alignment horizontal="right"/>
    </xf>
    <xf numFmtId="3" fontId="15" fillId="0" borderId="0" xfId="41" applyNumberFormat="1" applyFont="1" applyFill="1" applyBorder="1" applyAlignment="1" applyProtection="1">
      <alignment horizontal="right"/>
    </xf>
    <xf numFmtId="171" fontId="2" fillId="0" borderId="0" xfId="37" applyNumberFormat="1" applyFont="1" applyProtection="1"/>
    <xf numFmtId="171" fontId="7" fillId="0" borderId="0" xfId="37" applyNumberFormat="1" applyFont="1" applyFill="1" applyProtection="1"/>
    <xf numFmtId="9" fontId="2" fillId="0" borderId="0" xfId="37" applyNumberFormat="1" applyFont="1" applyAlignment="1" applyProtection="1">
      <alignment horizontal="center"/>
    </xf>
    <xf numFmtId="169" fontId="2" fillId="0" borderId="0" xfId="37" applyNumberFormat="1" applyFont="1" applyAlignment="1" applyProtection="1">
      <alignment horizontal="left"/>
    </xf>
    <xf numFmtId="0" fontId="2" fillId="0" borderId="6" xfId="37" applyFont="1" applyBorder="1" applyProtection="1"/>
    <xf numFmtId="0" fontId="2" fillId="0" borderId="6" xfId="37" applyFont="1" applyBorder="1" applyAlignment="1" applyProtection="1">
      <alignment horizontal="right"/>
    </xf>
    <xf numFmtId="169" fontId="2" fillId="0" borderId="6" xfId="37" applyNumberFormat="1" applyFont="1" applyBorder="1" applyProtection="1"/>
    <xf numFmtId="170" fontId="7" fillId="0" borderId="0" xfId="37" applyNumberFormat="1" applyFont="1" applyFill="1" applyProtection="1"/>
    <xf numFmtId="0" fontId="1" fillId="0" borderId="0" xfId="37" applyFont="1" applyFill="1" applyProtection="1"/>
    <xf numFmtId="0" fontId="1" fillId="0" borderId="0" xfId="37" applyFont="1" applyFill="1" applyAlignment="1" applyProtection="1">
      <alignment horizontal="right"/>
    </xf>
    <xf numFmtId="169" fontId="1" fillId="0" borderId="0" xfId="37" applyNumberFormat="1" applyFont="1" applyFill="1" applyProtection="1"/>
    <xf numFmtId="171" fontId="7" fillId="0" borderId="0" xfId="37" applyNumberFormat="1" applyFont="1" applyFill="1" applyBorder="1" applyProtection="1"/>
    <xf numFmtId="170" fontId="7" fillId="0" borderId="6" xfId="37" applyNumberFormat="1" applyFont="1" applyFill="1" applyBorder="1" applyProtection="1"/>
    <xf numFmtId="169" fontId="2" fillId="0" borderId="0" xfId="37" applyNumberFormat="1" applyFont="1" applyBorder="1" applyProtection="1"/>
    <xf numFmtId="170" fontId="7" fillId="0" borderId="2" xfId="37" applyNumberFormat="1" applyFont="1" applyFill="1" applyBorder="1" applyProtection="1"/>
    <xf numFmtId="0" fontId="2" fillId="0" borderId="2" xfId="37" applyFont="1" applyBorder="1" applyProtection="1"/>
    <xf numFmtId="0" fontId="10" fillId="0" borderId="0" xfId="37" applyFont="1" applyFill="1" applyBorder="1" applyProtection="1"/>
    <xf numFmtId="0" fontId="10" fillId="0" borderId="0" xfId="37" applyFont="1" applyFill="1" applyBorder="1" applyAlignment="1" applyProtection="1">
      <alignment horizontal="right"/>
    </xf>
    <xf numFmtId="169" fontId="10" fillId="0" borderId="0" xfId="37" applyNumberFormat="1" applyFont="1" applyFill="1" applyBorder="1" applyProtection="1"/>
    <xf numFmtId="0" fontId="2" fillId="0" borderId="0" xfId="37" applyFont="1" applyFill="1" applyBorder="1" applyAlignment="1" applyProtection="1">
      <alignment horizontal="right"/>
    </xf>
    <xf numFmtId="169" fontId="2" fillId="0" borderId="0" xfId="37" applyNumberFormat="1" applyFont="1" applyFill="1" applyBorder="1" applyProtection="1"/>
    <xf numFmtId="169" fontId="2" fillId="0" borderId="0" xfId="37" applyNumberFormat="1" applyFont="1" applyFill="1" applyBorder="1" applyAlignment="1" applyProtection="1">
      <alignment horizontal="left"/>
    </xf>
    <xf numFmtId="0" fontId="1" fillId="0" borderId="0" xfId="37" applyFont="1" applyFill="1" applyBorder="1" applyProtection="1"/>
    <xf numFmtId="0" fontId="1" fillId="0" borderId="0" xfId="37" applyFont="1" applyFill="1" applyBorder="1" applyAlignment="1" applyProtection="1">
      <alignment horizontal="right"/>
    </xf>
    <xf numFmtId="169" fontId="1" fillId="0" borderId="0" xfId="37" applyNumberFormat="1" applyFont="1" applyFill="1" applyBorder="1" applyProtection="1"/>
    <xf numFmtId="10" fontId="2" fillId="0" borderId="0" xfId="37" applyNumberFormat="1" applyFont="1" applyFill="1" applyBorder="1" applyAlignment="1" applyProtection="1">
      <alignment horizontal="right"/>
    </xf>
    <xf numFmtId="0" fontId="18" fillId="16" borderId="0" xfId="41" applyFont="1" applyFill="1" applyBorder="1" applyProtection="1"/>
    <xf numFmtId="0" fontId="18" fillId="0" borderId="0" xfId="41" applyFont="1" applyFill="1" applyBorder="1" applyProtection="1"/>
    <xf numFmtId="9" fontId="2" fillId="0" borderId="0" xfId="37" applyNumberFormat="1" applyFont="1" applyFill="1" applyAlignment="1" applyProtection="1">
      <alignment horizontal="center"/>
    </xf>
    <xf numFmtId="9" fontId="2" fillId="0" borderId="0" xfId="37" applyNumberFormat="1" applyFont="1" applyFill="1" applyBorder="1" applyAlignment="1" applyProtection="1">
      <alignment horizontal="center"/>
    </xf>
    <xf numFmtId="9" fontId="2" fillId="0" borderId="6" xfId="37" applyNumberFormat="1" applyFont="1" applyFill="1" applyBorder="1" applyAlignment="1" applyProtection="1">
      <alignment horizontal="center"/>
    </xf>
    <xf numFmtId="9" fontId="2" fillId="0" borderId="2" xfId="37" applyNumberFormat="1" applyFont="1" applyFill="1" applyBorder="1" applyAlignment="1" applyProtection="1">
      <alignment horizontal="center"/>
    </xf>
    <xf numFmtId="0" fontId="1" fillId="16" borderId="0" xfId="41" applyFont="1" applyFill="1" applyAlignment="1" applyProtection="1">
      <alignment horizontal="left"/>
    </xf>
    <xf numFmtId="3" fontId="13" fillId="0" borderId="0" xfId="41" applyNumberFormat="1" applyFont="1" applyFill="1" applyBorder="1" applyAlignment="1" applyProtection="1">
      <alignment vertical="center"/>
    </xf>
    <xf numFmtId="9" fontId="5" fillId="0" borderId="0" xfId="41" applyNumberFormat="1" applyFont="1" applyFill="1" applyBorder="1" applyAlignment="1" applyProtection="1">
      <alignment horizontal="right"/>
    </xf>
    <xf numFmtId="10" fontId="14" fillId="0" borderId="0" xfId="41" applyNumberFormat="1" applyFont="1" applyFill="1" applyBorder="1" applyAlignment="1" applyProtection="1">
      <alignment horizontal="right" vertical="center"/>
    </xf>
    <xf numFmtId="9" fontId="5" fillId="0" borderId="0" xfId="41" applyNumberFormat="1" applyFont="1" applyFill="1" applyBorder="1" applyAlignment="1" applyProtection="1">
      <alignment horizontal="right" vertical="center"/>
    </xf>
    <xf numFmtId="9" fontId="1" fillId="16" borderId="0" xfId="41" applyNumberFormat="1" applyFont="1" applyFill="1" applyBorder="1" applyProtection="1"/>
    <xf numFmtId="0" fontId="5" fillId="0" borderId="0" xfId="41" applyFont="1" applyBorder="1" applyAlignment="1" applyProtection="1">
      <alignment horizontal="left"/>
    </xf>
    <xf numFmtId="0" fontId="6" fillId="0" borderId="17" xfId="41" applyFont="1" applyFill="1" applyBorder="1" applyAlignment="1" applyProtection="1">
      <alignment vertical="center"/>
    </xf>
    <xf numFmtId="0" fontId="13" fillId="0" borderId="4" xfId="41" applyFont="1" applyFill="1" applyBorder="1" applyAlignment="1" applyProtection="1">
      <alignment vertical="center"/>
    </xf>
    <xf numFmtId="167" fontId="9" fillId="16" borderId="17" xfId="41" applyNumberFormat="1" applyFont="1" applyFill="1" applyBorder="1" applyAlignment="1" applyProtection="1">
      <alignment horizontal="left" vertical="center"/>
    </xf>
    <xf numFmtId="0" fontId="9" fillId="16" borderId="17" xfId="41" applyFont="1" applyFill="1" applyBorder="1" applyAlignment="1" applyProtection="1">
      <alignment vertical="center"/>
    </xf>
    <xf numFmtId="9" fontId="5" fillId="0" borderId="17" xfId="41" applyNumberFormat="1" applyFont="1" applyFill="1" applyBorder="1" applyAlignment="1" applyProtection="1">
      <alignment horizontal="right" vertical="center"/>
    </xf>
    <xf numFmtId="167" fontId="5" fillId="0" borderId="18" xfId="41" applyNumberFormat="1" applyFont="1" applyFill="1" applyBorder="1" applyAlignment="1" applyProtection="1">
      <alignment horizontal="left"/>
    </xf>
    <xf numFmtId="0" fontId="5" fillId="0" borderId="18" xfId="41" applyFont="1" applyFill="1" applyBorder="1" applyAlignment="1" applyProtection="1"/>
    <xf numFmtId="167" fontId="5" fillId="0" borderId="19" xfId="41" applyNumberFormat="1" applyFont="1" applyFill="1" applyBorder="1" applyAlignment="1" applyProtection="1">
      <alignment horizontal="left"/>
    </xf>
    <xf numFmtId="0" fontId="5" fillId="0" borderId="19" xfId="41" applyFont="1" applyFill="1" applyBorder="1" applyAlignment="1" applyProtection="1"/>
    <xf numFmtId="0" fontId="5" fillId="0" borderId="19" xfId="41" applyFont="1" applyBorder="1" applyAlignment="1" applyProtection="1">
      <alignment horizontal="left"/>
    </xf>
    <xf numFmtId="0" fontId="5" fillId="0" borderId="19" xfId="41" applyFont="1" applyBorder="1" applyProtection="1"/>
    <xf numFmtId="3" fontId="14" fillId="0" borderId="0" xfId="41" applyNumberFormat="1" applyFont="1" applyFill="1" applyBorder="1" applyAlignment="1" applyProtection="1">
      <alignment horizontal="right" vertical="center"/>
    </xf>
    <xf numFmtId="164" fontId="1" fillId="16" borderId="0" xfId="41" applyNumberFormat="1" applyFont="1" applyFill="1" applyBorder="1" applyAlignment="1" applyProtection="1">
      <alignment horizontal="right"/>
    </xf>
    <xf numFmtId="164" fontId="2" fillId="0" borderId="0" xfId="37" applyNumberFormat="1" applyFont="1" applyProtection="1"/>
    <xf numFmtId="164" fontId="1" fillId="0" borderId="0" xfId="37" applyNumberFormat="1" applyFont="1" applyBorder="1" applyProtection="1"/>
    <xf numFmtId="164" fontId="2" fillId="0" borderId="6" xfId="37" applyNumberFormat="1" applyFont="1" applyBorder="1" applyProtection="1"/>
    <xf numFmtId="164" fontId="1" fillId="0" borderId="0" xfId="37" applyNumberFormat="1" applyFont="1" applyFill="1" applyProtection="1"/>
    <xf numFmtId="164" fontId="1" fillId="0" borderId="0" xfId="37" applyNumberFormat="1" applyFont="1" applyProtection="1"/>
    <xf numFmtId="164" fontId="2" fillId="0" borderId="0" xfId="37" applyNumberFormat="1" applyFont="1" applyBorder="1" applyProtection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71" fontId="19" fillId="16" borderId="0" xfId="37" applyNumberFormat="1" applyFont="1" applyFill="1" applyProtection="1"/>
    <xf numFmtId="164" fontId="1" fillId="16" borderId="0" xfId="37" applyNumberFormat="1" applyFont="1" applyFill="1" applyProtection="1"/>
    <xf numFmtId="4" fontId="2" fillId="16" borderId="0" xfId="37" applyNumberFormat="1" applyFont="1" applyFill="1" applyAlignment="1" applyProtection="1">
      <alignment vertical="center"/>
    </xf>
    <xf numFmtId="4" fontId="2" fillId="0" borderId="0" xfId="37" applyNumberFormat="1" applyFont="1" applyFill="1" applyAlignment="1" applyProtection="1">
      <alignment vertical="center"/>
    </xf>
    <xf numFmtId="0" fontId="0" fillId="0" borderId="0" xfId="0" applyNumberFormat="1" applyBorder="1"/>
    <xf numFmtId="9" fontId="5" fillId="17" borderId="20" xfId="41" applyNumberFormat="1" applyFont="1" applyFill="1" applyBorder="1" applyAlignment="1" applyProtection="1">
      <alignment horizontal="right"/>
      <protection locked="0"/>
    </xf>
    <xf numFmtId="9" fontId="5" fillId="17" borderId="21" xfId="41" applyNumberFormat="1" applyFont="1" applyFill="1" applyBorder="1" applyAlignment="1" applyProtection="1">
      <alignment horizontal="right"/>
      <protection locked="0"/>
    </xf>
    <xf numFmtId="0" fontId="9" fillId="0" borderId="0" xfId="41" applyFont="1" applyBorder="1" applyAlignment="1" applyProtection="1">
      <alignment horizontal="left"/>
    </xf>
    <xf numFmtId="0" fontId="5" fillId="0" borderId="0" xfId="41" applyFont="1" applyFill="1" applyBorder="1" applyAlignment="1" applyProtection="1">
      <alignment horizontal="right"/>
    </xf>
    <xf numFmtId="9" fontId="5" fillId="0" borderId="0" xfId="41" applyNumberFormat="1" applyFont="1" applyProtection="1"/>
    <xf numFmtId="9" fontId="2" fillId="16" borderId="0" xfId="37" applyNumberFormat="1" applyFont="1" applyFill="1" applyProtection="1"/>
    <xf numFmtId="0" fontId="5" fillId="0" borderId="0" xfId="41" applyFont="1" applyFill="1" applyBorder="1" applyAlignment="1" applyProtection="1">
      <alignment vertical="center"/>
    </xf>
    <xf numFmtId="0" fontId="15" fillId="0" borderId="0" xfId="41" applyFont="1" applyFill="1" applyBorder="1" applyAlignment="1" applyProtection="1">
      <alignment vertical="center"/>
    </xf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164" fontId="1" fillId="16" borderId="0" xfId="41" applyNumberFormat="1" applyFont="1" applyFill="1" applyBorder="1" applyAlignment="1" applyProtection="1">
      <alignment horizontal="right" vertical="center"/>
    </xf>
    <xf numFmtId="3" fontId="15" fillId="0" borderId="0" xfId="41" applyNumberFormat="1" applyFont="1" applyFill="1" applyBorder="1" applyAlignment="1" applyProtection="1">
      <alignment horizontal="right" vertical="center"/>
    </xf>
    <xf numFmtId="9" fontId="1" fillId="16" borderId="0" xfId="41" applyNumberFormat="1" applyFont="1" applyFill="1" applyBorder="1" applyAlignment="1" applyProtection="1">
      <alignment vertical="center"/>
    </xf>
    <xf numFmtId="0" fontId="18" fillId="0" borderId="0" xfId="4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1" fontId="3" fillId="17" borderId="4" xfId="12" applyNumberFormat="1" applyFont="1" applyFill="1" applyBorder="1" applyAlignment="1" applyProtection="1">
      <alignment horizontal="center" vertical="center"/>
      <protection locked="0"/>
    </xf>
    <xf numFmtId="1" fontId="3" fillId="17" borderId="5" xfId="12" applyNumberFormat="1" applyFont="1" applyFill="1" applyBorder="1" applyAlignment="1" applyProtection="1">
      <alignment horizontal="center" vertical="center"/>
      <protection locked="0"/>
    </xf>
    <xf numFmtId="0" fontId="55" fillId="0" borderId="0" xfId="41" applyFont="1" applyFill="1" applyProtection="1"/>
    <xf numFmtId="10" fontId="16" fillId="0" borderId="0" xfId="41" applyNumberFormat="1" applyFont="1" applyBorder="1" applyAlignment="1" applyProtection="1">
      <alignment horizontal="left" wrapText="1"/>
    </xf>
    <xf numFmtId="0" fontId="22" fillId="0" borderId="0" xfId="41" applyFont="1" applyFill="1" applyBorder="1" applyAlignment="1" applyProtection="1">
      <alignment vertical="center"/>
    </xf>
    <xf numFmtId="164" fontId="8" fillId="0" borderId="0" xfId="41" applyNumberFormat="1" applyFont="1" applyFill="1" applyBorder="1" applyAlignment="1" applyProtection="1"/>
    <xf numFmtId="0" fontId="2" fillId="0" borderId="0" xfId="37" applyFont="1" applyFill="1" applyProtection="1"/>
    <xf numFmtId="173" fontId="5" fillId="0" borderId="17" xfId="41" applyNumberFormat="1" applyFont="1" applyFill="1" applyBorder="1" applyAlignment="1" applyProtection="1">
      <alignment horizontal="right" vertical="center"/>
    </xf>
    <xf numFmtId="173" fontId="5" fillId="0" borderId="0" xfId="41" applyNumberFormat="1" applyFont="1" applyFill="1" applyBorder="1" applyAlignment="1" applyProtection="1">
      <alignment horizontal="right"/>
    </xf>
    <xf numFmtId="173" fontId="5" fillId="0" borderId="18" xfId="41" applyNumberFormat="1" applyFont="1" applyFill="1" applyBorder="1" applyAlignment="1" applyProtection="1">
      <alignment horizontal="right"/>
    </xf>
    <xf numFmtId="173" fontId="5" fillId="0" borderId="19" xfId="41" applyNumberFormat="1" applyFont="1" applyFill="1" applyBorder="1" applyAlignment="1" applyProtection="1">
      <alignment horizontal="right"/>
    </xf>
    <xf numFmtId="173" fontId="5" fillId="0" borderId="0" xfId="41" applyNumberFormat="1" applyFont="1" applyFill="1" applyBorder="1" applyAlignment="1" applyProtection="1">
      <alignment horizontal="right" vertical="center"/>
    </xf>
    <xf numFmtId="10" fontId="16" fillId="0" borderId="0" xfId="41" applyNumberFormat="1" applyFont="1" applyFill="1" applyBorder="1" applyAlignment="1" applyProtection="1">
      <alignment horizontal="right" vertical="center"/>
    </xf>
    <xf numFmtId="3" fontId="16" fillId="0" borderId="0" xfId="41" applyNumberFormat="1" applyFont="1" applyFill="1" applyBorder="1" applyAlignment="1" applyProtection="1">
      <alignment horizontal="center" vertical="center"/>
    </xf>
    <xf numFmtId="164" fontId="1" fillId="16" borderId="0" xfId="37" applyNumberFormat="1" applyFont="1" applyFill="1" applyAlignment="1" applyProtection="1">
      <alignment horizontal="right"/>
    </xf>
    <xf numFmtId="164" fontId="2" fillId="0" borderId="0" xfId="37" applyNumberFormat="1" applyFont="1" applyAlignment="1" applyProtection="1">
      <alignment horizontal="right"/>
    </xf>
    <xf numFmtId="164" fontId="1" fillId="0" borderId="0" xfId="37" applyNumberFormat="1" applyFont="1" applyBorder="1" applyAlignment="1" applyProtection="1">
      <alignment horizontal="right"/>
    </xf>
    <xf numFmtId="164" fontId="2" fillId="0" borderId="6" xfId="37" applyNumberFormat="1" applyFont="1" applyBorder="1" applyAlignment="1" applyProtection="1">
      <alignment horizontal="right"/>
    </xf>
    <xf numFmtId="164" fontId="1" fillId="0" borderId="0" xfId="37" applyNumberFormat="1" applyFont="1" applyFill="1" applyAlignment="1" applyProtection="1">
      <alignment horizontal="right"/>
    </xf>
    <xf numFmtId="164" fontId="1" fillId="0" borderId="0" xfId="37" applyNumberFormat="1" applyFont="1" applyAlignment="1" applyProtection="1">
      <alignment horizontal="right"/>
    </xf>
    <xf numFmtId="164" fontId="2" fillId="0" borderId="0" xfId="37" applyNumberFormat="1" applyFont="1" applyBorder="1" applyAlignment="1" applyProtection="1">
      <alignment horizontal="right"/>
    </xf>
    <xf numFmtId="164" fontId="8" fillId="0" borderId="0" xfId="41" applyNumberFormat="1" applyFont="1" applyBorder="1" applyAlignment="1" applyProtection="1">
      <alignment horizontal="right"/>
    </xf>
    <xf numFmtId="164" fontId="8" fillId="0" borderId="0" xfId="41" applyNumberFormat="1" applyFont="1" applyBorder="1" applyAlignment="1" applyProtection="1"/>
    <xf numFmtId="164" fontId="8" fillId="10" borderId="21" xfId="41" applyNumberFormat="1" applyFont="1" applyFill="1" applyBorder="1" applyAlignment="1" applyProtection="1"/>
    <xf numFmtId="164" fontId="8" fillId="10" borderId="22" xfId="41" applyNumberFormat="1" applyFont="1" applyFill="1" applyBorder="1" applyAlignment="1" applyProtection="1"/>
    <xf numFmtId="164" fontId="8" fillId="10" borderId="23" xfId="41" applyNumberFormat="1" applyFont="1" applyFill="1" applyBorder="1" applyAlignment="1" applyProtection="1"/>
    <xf numFmtId="164" fontId="8" fillId="16" borderId="17" xfId="41" applyNumberFormat="1" applyFont="1" applyFill="1" applyBorder="1" applyAlignment="1" applyProtection="1"/>
    <xf numFmtId="164" fontId="8" fillId="16" borderId="20" xfId="41" applyNumberFormat="1" applyFont="1" applyFill="1" applyBorder="1" applyAlignment="1" applyProtection="1"/>
    <xf numFmtId="164" fontId="8" fillId="17" borderId="20" xfId="41" applyNumberFormat="1" applyFont="1" applyFill="1" applyBorder="1" applyAlignment="1" applyProtection="1">
      <alignment vertical="center"/>
      <protection locked="0"/>
    </xf>
    <xf numFmtId="164" fontId="8" fillId="0" borderId="21" xfId="41" applyNumberFormat="1" applyFont="1" applyFill="1" applyBorder="1" applyProtection="1"/>
    <xf numFmtId="164" fontId="8" fillId="17" borderId="21" xfId="41" applyNumberFormat="1" applyFont="1" applyFill="1" applyBorder="1" applyAlignment="1" applyProtection="1">
      <alignment vertical="center"/>
      <protection locked="0"/>
    </xf>
    <xf numFmtId="164" fontId="8" fillId="16" borderId="21" xfId="41" applyNumberFormat="1" applyFont="1" applyFill="1" applyBorder="1" applyAlignment="1" applyProtection="1">
      <alignment vertical="center"/>
    </xf>
    <xf numFmtId="164" fontId="8" fillId="17" borderId="21" xfId="41" applyNumberFormat="1" applyFont="1" applyFill="1" applyBorder="1" applyAlignment="1" applyProtection="1">
      <protection locked="0"/>
    </xf>
    <xf numFmtId="164" fontId="8" fillId="17" borderId="21" xfId="41" applyNumberFormat="1" applyFont="1" applyFill="1" applyBorder="1" applyProtection="1">
      <protection locked="0"/>
    </xf>
    <xf numFmtId="3" fontId="14" fillId="0" borderId="0" xfId="4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3" fontId="9" fillId="0" borderId="0" xfId="41" applyNumberFormat="1" applyFont="1" applyFill="1" applyBorder="1" applyAlignment="1" applyProtection="1"/>
    <xf numFmtId="0" fontId="0" fillId="0" borderId="0" xfId="0" applyFill="1" applyBorder="1" applyProtection="1"/>
    <xf numFmtId="9" fontId="5" fillId="0" borderId="0" xfId="41" applyNumberFormat="1" applyFont="1" applyFill="1" applyBorder="1" applyAlignment="1" applyProtection="1">
      <alignment horizontal="center" vertical="center"/>
    </xf>
    <xf numFmtId="3" fontId="6" fillId="0" borderId="0" xfId="41" applyNumberFormat="1" applyFont="1" applyFill="1" applyBorder="1" applyAlignment="1" applyProtection="1">
      <alignment vertical="top" wrapText="1"/>
    </xf>
    <xf numFmtId="0" fontId="2" fillId="0" borderId="0" xfId="38" applyAlignment="1" applyProtection="1">
      <alignment vertical="center"/>
    </xf>
    <xf numFmtId="0" fontId="2" fillId="0" borderId="0" xfId="38" applyFill="1" applyAlignment="1" applyProtection="1">
      <alignment vertical="center"/>
    </xf>
    <xf numFmtId="0" fontId="1" fillId="0" borderId="0" xfId="38" applyFont="1" applyFill="1" applyBorder="1" applyAlignment="1" applyProtection="1">
      <alignment vertical="center"/>
    </xf>
    <xf numFmtId="0" fontId="2" fillId="0" borderId="0" xfId="38" applyFill="1" applyBorder="1" applyAlignment="1" applyProtection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4" xfId="12" applyFont="1" applyBorder="1" applyAlignment="1" applyProtection="1">
      <alignment horizontal="center" vertical="center"/>
    </xf>
    <xf numFmtId="0" fontId="3" fillId="0" borderId="5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1" fillId="0" borderId="0" xfId="38" applyFont="1" applyAlignment="1" applyProtection="1">
      <alignment vertical="center"/>
    </xf>
    <xf numFmtId="0" fontId="8" fillId="0" borderId="0" xfId="38" applyFont="1" applyAlignment="1" applyProtection="1">
      <alignment vertical="center"/>
    </xf>
    <xf numFmtId="10" fontId="1" fillId="16" borderId="0" xfId="28" applyNumberFormat="1" applyFont="1" applyFill="1" applyAlignment="1" applyProtection="1">
      <alignment horizontal="right" vertical="center"/>
    </xf>
    <xf numFmtId="0" fontId="2" fillId="0" borderId="0" xfId="38" applyFont="1" applyFill="1" applyBorder="1" applyAlignment="1" applyProtection="1">
      <alignment vertical="center"/>
    </xf>
    <xf numFmtId="169" fontId="1" fillId="0" borderId="0" xfId="38" applyNumberFormat="1" applyFont="1" applyFill="1" applyBorder="1" applyAlignment="1" applyProtection="1">
      <alignment horizontal="right" vertical="center"/>
    </xf>
    <xf numFmtId="0" fontId="2" fillId="0" borderId="0" xfId="38" applyFont="1" applyAlignment="1" applyProtection="1">
      <alignment vertical="center"/>
    </xf>
    <xf numFmtId="0" fontId="56" fillId="0" borderId="0" xfId="38" applyFont="1" applyAlignment="1" applyProtection="1">
      <alignment vertical="center"/>
    </xf>
    <xf numFmtId="0" fontId="57" fillId="0" borderId="0" xfId="38" applyNumberFormat="1" applyFont="1" applyFill="1" applyAlignment="1" applyProtection="1">
      <alignment horizontal="right" vertical="center"/>
    </xf>
    <xf numFmtId="0" fontId="2" fillId="0" borderId="0" xfId="38" applyFont="1" applyAlignment="1" applyProtection="1">
      <alignment horizontal="left" vertical="center"/>
    </xf>
    <xf numFmtId="10" fontId="2" fillId="0" borderId="0" xfId="38" applyNumberFormat="1" applyFont="1" applyFill="1" applyBorder="1" applyAlignment="1" applyProtection="1">
      <alignment horizontal="right" vertical="center"/>
    </xf>
    <xf numFmtId="0" fontId="2" fillId="0" borderId="0" xfId="38" applyFont="1" applyFill="1" applyAlignment="1" applyProtection="1">
      <alignment vertical="center"/>
    </xf>
    <xf numFmtId="9" fontId="5" fillId="0" borderId="0" xfId="41" applyNumberFormat="1" applyFont="1" applyFill="1" applyBorder="1" applyAlignment="1" applyProtection="1">
      <alignment horizontal="center"/>
    </xf>
    <xf numFmtId="171" fontId="8" fillId="0" borderId="0" xfId="38" applyNumberFormat="1" applyFont="1" applyFill="1" applyBorder="1" applyAlignment="1" applyProtection="1">
      <alignment vertical="center"/>
    </xf>
    <xf numFmtId="171" fontId="10" fillId="0" borderId="0" xfId="38" applyNumberFormat="1" applyFont="1" applyFill="1" applyAlignment="1" applyProtection="1">
      <alignment horizontal="right" vertical="center"/>
    </xf>
    <xf numFmtId="10" fontId="1" fillId="0" borderId="0" xfId="28" applyNumberFormat="1" applyFont="1" applyFill="1" applyAlignment="1" applyProtection="1">
      <alignment horizontal="right" vertical="center"/>
    </xf>
    <xf numFmtId="171" fontId="2" fillId="0" borderId="0" xfId="38" applyNumberFormat="1" applyFont="1" applyFill="1" applyBorder="1" applyAlignment="1" applyProtection="1">
      <alignment vertical="center"/>
    </xf>
    <xf numFmtId="1" fontId="3" fillId="16" borderId="0" xfId="12" applyNumberFormat="1" applyFont="1" applyFill="1" applyBorder="1" applyAlignment="1" applyProtection="1">
      <alignment horizontal="center" vertical="center"/>
    </xf>
    <xf numFmtId="0" fontId="58" fillId="18" borderId="0" xfId="37" applyFont="1" applyFill="1" applyBorder="1" applyProtection="1"/>
    <xf numFmtId="169" fontId="58" fillId="18" borderId="0" xfId="37" applyNumberFormat="1" applyFont="1" applyFill="1" applyBorder="1" applyProtection="1"/>
    <xf numFmtId="0" fontId="54" fillId="18" borderId="0" xfId="37" applyFont="1" applyFill="1" applyBorder="1" applyProtection="1"/>
    <xf numFmtId="170" fontId="59" fillId="18" borderId="0" xfId="37" applyNumberFormat="1" applyFont="1" applyFill="1" applyBorder="1" applyProtection="1"/>
    <xf numFmtId="9" fontId="54" fillId="18" borderId="0" xfId="37" applyNumberFormat="1" applyFont="1" applyFill="1" applyBorder="1" applyAlignment="1" applyProtection="1">
      <alignment horizontal="center"/>
    </xf>
    <xf numFmtId="164" fontId="58" fillId="18" borderId="0" xfId="37" applyNumberFormat="1" applyFont="1" applyFill="1" applyBorder="1" applyProtection="1"/>
    <xf numFmtId="164" fontId="10" fillId="18" borderId="0" xfId="38" applyNumberFormat="1" applyFont="1" applyFill="1" applyAlignment="1" applyProtection="1">
      <alignment horizontal="right" vertical="center"/>
    </xf>
    <xf numFmtId="0" fontId="2" fillId="0" borderId="0" xfId="37" applyFont="1" applyBorder="1" applyAlignment="1" applyProtection="1">
      <alignment horizontal="right"/>
    </xf>
    <xf numFmtId="0" fontId="58" fillId="18" borderId="0" xfId="37" applyFont="1" applyFill="1" applyBorder="1" applyAlignment="1" applyProtection="1">
      <alignment horizontal="right"/>
    </xf>
    <xf numFmtId="164" fontId="58" fillId="18" borderId="0" xfId="37" applyNumberFormat="1" applyFont="1" applyFill="1" applyBorder="1" applyAlignment="1" applyProtection="1">
      <alignment horizontal="right"/>
    </xf>
    <xf numFmtId="10" fontId="60" fillId="0" borderId="0" xfId="41" applyNumberFormat="1" applyFont="1" applyFill="1" applyProtection="1"/>
    <xf numFmtId="164" fontId="8" fillId="16" borderId="21" xfId="41" applyNumberFormat="1" applyFont="1" applyFill="1" applyBorder="1" applyAlignment="1" applyProtection="1"/>
    <xf numFmtId="164" fontId="8" fillId="16" borderId="24" xfId="41" applyNumberFormat="1" applyFont="1" applyFill="1" applyBorder="1" applyAlignment="1" applyProtection="1"/>
    <xf numFmtId="10" fontId="2" fillId="0" borderId="0" xfId="37" applyNumberFormat="1" applyFont="1" applyBorder="1" applyAlignment="1" applyProtection="1">
      <alignment horizontal="center"/>
    </xf>
    <xf numFmtId="10" fontId="2" fillId="17" borderId="0" xfId="37" applyNumberFormat="1" applyFont="1" applyFill="1" applyAlignment="1" applyProtection="1">
      <alignment horizontal="right"/>
      <protection locked="0"/>
    </xf>
    <xf numFmtId="10" fontId="2" fillId="0" borderId="6" xfId="37" applyNumberFormat="1" applyFont="1" applyBorder="1" applyAlignment="1" applyProtection="1">
      <alignment horizontal="center"/>
    </xf>
    <xf numFmtId="10" fontId="2" fillId="0" borderId="2" xfId="37" applyNumberFormat="1" applyFont="1" applyBorder="1" applyAlignment="1" applyProtection="1">
      <alignment horizontal="center"/>
    </xf>
    <xf numFmtId="10" fontId="2" fillId="0" borderId="0" xfId="37" applyNumberFormat="1" applyFont="1" applyAlignment="1" applyProtection="1">
      <alignment horizontal="center"/>
    </xf>
    <xf numFmtId="10" fontId="2" fillId="17" borderId="20" xfId="38" applyNumberFormat="1" applyFont="1" applyFill="1" applyBorder="1" applyAlignment="1" applyProtection="1">
      <alignment horizontal="right" vertical="center"/>
      <protection locked="0"/>
    </xf>
    <xf numFmtId="10" fontId="2" fillId="17" borderId="21" xfId="38" applyNumberFormat="1" applyFont="1" applyFill="1" applyBorder="1" applyAlignment="1" applyProtection="1">
      <alignment horizontal="right" vertical="center"/>
      <protection locked="0"/>
    </xf>
    <xf numFmtId="10" fontId="2" fillId="17" borderId="25" xfId="38" applyNumberFormat="1" applyFont="1" applyFill="1" applyBorder="1" applyAlignment="1" applyProtection="1">
      <alignment horizontal="right" vertical="center"/>
      <protection locked="0"/>
    </xf>
    <xf numFmtId="10" fontId="2" fillId="0" borderId="7" xfId="38" applyNumberFormat="1" applyFont="1" applyFill="1" applyBorder="1" applyAlignment="1" applyProtection="1">
      <alignment horizontal="right" vertical="center"/>
    </xf>
    <xf numFmtId="10" fontId="2" fillId="0" borderId="6" xfId="37" applyNumberFormat="1" applyFont="1" applyFill="1" applyBorder="1" applyAlignment="1" applyProtection="1">
      <alignment horizontal="center"/>
    </xf>
    <xf numFmtId="10" fontId="2" fillId="0" borderId="0" xfId="37" applyNumberFormat="1" applyFont="1" applyFill="1" applyAlignment="1" applyProtection="1">
      <alignment horizontal="center"/>
    </xf>
    <xf numFmtId="10" fontId="58" fillId="19" borderId="0" xfId="28" applyNumberFormat="1" applyFont="1" applyFill="1" applyAlignment="1" applyProtection="1">
      <alignment horizontal="right" vertical="center"/>
    </xf>
    <xf numFmtId="10" fontId="61" fillId="0" borderId="0" xfId="41" applyNumberFormat="1" applyFont="1" applyFill="1" applyProtection="1"/>
    <xf numFmtId="0" fontId="61" fillId="0" borderId="0" xfId="41" applyFont="1" applyFill="1" applyProtection="1"/>
    <xf numFmtId="175" fontId="8" fillId="17" borderId="26" xfId="41" applyNumberFormat="1" applyFont="1" applyFill="1" applyBorder="1" applyProtection="1">
      <protection locked="0"/>
    </xf>
    <xf numFmtId="176" fontId="2" fillId="17" borderId="0" xfId="38" applyNumberFormat="1" applyFont="1" applyFill="1" applyAlignment="1" applyProtection="1">
      <alignment horizontal="right" vertical="center"/>
      <protection locked="0"/>
    </xf>
    <xf numFmtId="0" fontId="2" fillId="0" borderId="0" xfId="37" applyFont="1" applyAlignment="1" applyProtection="1"/>
    <xf numFmtId="0" fontId="5" fillId="0" borderId="0" xfId="41" applyFont="1" applyFill="1" applyBorder="1" applyAlignment="1" applyProtection="1"/>
    <xf numFmtId="4" fontId="2" fillId="16" borderId="0" xfId="37" applyNumberFormat="1" applyFont="1" applyFill="1" applyAlignment="1" applyProtection="1"/>
    <xf numFmtId="0" fontId="55" fillId="0" borderId="0" xfId="41" applyFont="1" applyFill="1" applyAlignment="1" applyProtection="1"/>
    <xf numFmtId="0" fontId="2" fillId="0" borderId="0" xfId="38" applyAlignment="1" applyProtection="1"/>
    <xf numFmtId="10" fontId="2" fillId="0" borderId="7" xfId="38" applyNumberFormat="1" applyFont="1" applyFill="1" applyBorder="1" applyAlignment="1" applyProtection="1">
      <alignment horizontal="right"/>
    </xf>
    <xf numFmtId="0" fontId="25" fillId="0" borderId="0" xfId="41" applyFont="1" applyBorder="1" applyAlignment="1" applyProtection="1">
      <alignment horizontal="left"/>
    </xf>
    <xf numFmtId="164" fontId="8" fillId="16" borderId="20" xfId="41" applyNumberFormat="1" applyFont="1" applyFill="1" applyBorder="1" applyAlignment="1" applyProtection="1">
      <alignment vertical="center"/>
    </xf>
    <xf numFmtId="164" fontId="8" fillId="0" borderId="0" xfId="41" applyNumberFormat="1" applyFont="1" applyFill="1" applyBorder="1" applyAlignment="1" applyProtection="1">
      <protection locked="0"/>
    </xf>
    <xf numFmtId="1" fontId="5" fillId="0" borderId="27" xfId="41" applyNumberFormat="1" applyFont="1" applyFill="1" applyBorder="1" applyAlignment="1" applyProtection="1">
      <alignment horizontal="left"/>
    </xf>
    <xf numFmtId="167" fontId="5" fillId="0" borderId="27" xfId="41" applyNumberFormat="1" applyFont="1" applyFill="1" applyBorder="1" applyAlignment="1" applyProtection="1">
      <alignment horizontal="left"/>
    </xf>
    <xf numFmtId="0" fontId="5" fillId="0" borderId="27" xfId="41" applyFont="1" applyFill="1" applyBorder="1" applyAlignment="1" applyProtection="1"/>
    <xf numFmtId="0" fontId="9" fillId="0" borderId="4" xfId="41" applyFont="1" applyFill="1" applyBorder="1" applyAlignment="1" applyProtection="1">
      <alignment vertical="center" wrapText="1"/>
    </xf>
    <xf numFmtId="0" fontId="9" fillId="0" borderId="4" xfId="41" applyFont="1" applyFill="1" applyBorder="1" applyAlignment="1" applyProtection="1">
      <alignment horizontal="center" vertical="center" wrapText="1"/>
    </xf>
    <xf numFmtId="1" fontId="8" fillId="16" borderId="17" xfId="41" applyNumberFormat="1" applyFont="1" applyFill="1" applyBorder="1" applyAlignment="1" applyProtection="1">
      <alignment horizontal="center" vertical="center"/>
    </xf>
    <xf numFmtId="0" fontId="8" fillId="16" borderId="17" xfId="41" applyFont="1" applyFill="1" applyBorder="1" applyAlignment="1" applyProtection="1">
      <alignment vertical="center"/>
    </xf>
    <xf numFmtId="0" fontId="5" fillId="0" borderId="0" xfId="41" applyFont="1" applyBorder="1" applyAlignment="1" applyProtection="1">
      <alignment horizontal="center"/>
    </xf>
    <xf numFmtId="0" fontId="26" fillId="0" borderId="0" xfId="41" applyFont="1" applyAlignment="1" applyProtection="1">
      <alignment horizontal="left" vertical="center"/>
    </xf>
    <xf numFmtId="0" fontId="27" fillId="0" borderId="0" xfId="41" applyFont="1" applyFill="1" applyBorder="1" applyAlignment="1" applyProtection="1">
      <alignment vertical="center"/>
    </xf>
    <xf numFmtId="0" fontId="6" fillId="0" borderId="0" xfId="41" applyFont="1" applyBorder="1" applyAlignment="1" applyProtection="1">
      <alignment horizontal="center"/>
    </xf>
    <xf numFmtId="0" fontId="5" fillId="0" borderId="0" xfId="41" applyFont="1" applyFill="1" applyAlignment="1" applyProtection="1">
      <alignment horizontal="center"/>
    </xf>
    <xf numFmtId="3" fontId="5" fillId="0" borderId="0" xfId="41" applyNumberFormat="1" applyFont="1" applyFill="1" applyBorder="1" applyAlignment="1" applyProtection="1">
      <alignment horizontal="center" wrapText="1"/>
    </xf>
    <xf numFmtId="0" fontId="22" fillId="0" borderId="0" xfId="41" applyFont="1" applyFill="1" applyBorder="1" applyAlignment="1" applyProtection="1">
      <alignment horizontal="center" vertical="center"/>
    </xf>
    <xf numFmtId="10" fontId="16" fillId="0" borderId="0" xfId="41" applyNumberFormat="1" applyFont="1" applyFill="1" applyBorder="1" applyAlignment="1" applyProtection="1">
      <alignment horizontal="center" vertical="center"/>
    </xf>
    <xf numFmtId="10" fontId="5" fillId="0" borderId="17" xfId="41" applyNumberFormat="1" applyFont="1" applyFill="1" applyBorder="1" applyAlignment="1" applyProtection="1">
      <alignment horizontal="center" vertical="center"/>
    </xf>
    <xf numFmtId="0" fontId="13" fillId="0" borderId="4" xfId="41" applyFont="1" applyFill="1" applyBorder="1" applyAlignment="1" applyProtection="1">
      <alignment horizontal="center" vertical="center"/>
    </xf>
    <xf numFmtId="49" fontId="5" fillId="0" borderId="18" xfId="41" applyNumberFormat="1" applyFont="1" applyFill="1" applyBorder="1" applyAlignment="1" applyProtection="1">
      <alignment horizontal="center"/>
    </xf>
    <xf numFmtId="10" fontId="62" fillId="0" borderId="20" xfId="38" applyNumberFormat="1" applyFont="1" applyFill="1" applyBorder="1" applyAlignment="1" applyProtection="1">
      <alignment horizontal="right" vertical="center"/>
      <protection locked="0"/>
    </xf>
    <xf numFmtId="10" fontId="62" fillId="0" borderId="21" xfId="38" applyNumberFormat="1" applyFont="1" applyFill="1" applyBorder="1" applyAlignment="1" applyProtection="1">
      <alignment horizontal="right" vertical="center"/>
      <protection locked="0"/>
    </xf>
    <xf numFmtId="10" fontId="62" fillId="0" borderId="0" xfId="38" applyNumberFormat="1" applyFont="1" applyFill="1" applyBorder="1" applyAlignment="1" applyProtection="1">
      <alignment horizontal="right" vertical="center"/>
    </xf>
    <xf numFmtId="10" fontId="57" fillId="0" borderId="0" xfId="28" applyNumberFormat="1" applyFont="1" applyFill="1" applyAlignment="1" applyProtection="1">
      <alignment horizontal="right"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10" fontId="62" fillId="0" borderId="28" xfId="38" applyNumberFormat="1" applyFont="1" applyFill="1" applyBorder="1" applyAlignment="1" applyProtection="1">
      <alignment horizontal="right" vertical="center"/>
      <protection locked="0"/>
    </xf>
    <xf numFmtId="0" fontId="2" fillId="0" borderId="0" xfId="38" applyBorder="1" applyAlignment="1" applyProtection="1">
      <alignment vertical="center"/>
    </xf>
    <xf numFmtId="0" fontId="56" fillId="0" borderId="0" xfId="38" applyFont="1" applyBorder="1" applyAlignment="1" applyProtection="1">
      <alignment vertical="center"/>
    </xf>
    <xf numFmtId="0" fontId="57" fillId="0" borderId="0" xfId="38" applyNumberFormat="1" applyFont="1" applyFill="1" applyBorder="1" applyAlignment="1" applyProtection="1">
      <alignment horizontal="right" vertical="center"/>
    </xf>
    <xf numFmtId="0" fontId="23" fillId="0" borderId="4" xfId="38" applyFont="1" applyBorder="1" applyAlignment="1" applyProtection="1">
      <alignment vertical="center"/>
    </xf>
    <xf numFmtId="0" fontId="63" fillId="0" borderId="4" xfId="38" applyFont="1" applyBorder="1" applyAlignment="1" applyProtection="1">
      <alignment vertical="center"/>
    </xf>
    <xf numFmtId="0" fontId="28" fillId="0" borderId="4" xfId="41" applyFont="1" applyFill="1" applyBorder="1" applyProtection="1"/>
    <xf numFmtId="10" fontId="65" fillId="0" borderId="4" xfId="38" applyNumberFormat="1" applyFont="1" applyFill="1" applyBorder="1" applyAlignment="1" applyProtection="1">
      <alignment horizontal="right" vertical="center"/>
      <protection locked="0"/>
    </xf>
    <xf numFmtId="3" fontId="28" fillId="0" borderId="0" xfId="41" applyNumberFormat="1" applyFont="1" applyFill="1" applyBorder="1" applyAlignment="1" applyProtection="1">
      <alignment horizontal="right"/>
    </xf>
    <xf numFmtId="0" fontId="66" fillId="0" borderId="0" xfId="0" applyFont="1" applyFill="1" applyBorder="1"/>
    <xf numFmtId="0" fontId="28" fillId="0" borderId="0" xfId="41" applyFont="1" applyFill="1" applyBorder="1" applyProtection="1"/>
    <xf numFmtId="10" fontId="64" fillId="0" borderId="4" xfId="28" applyNumberFormat="1" applyFont="1" applyFill="1" applyBorder="1" applyAlignment="1" applyProtection="1">
      <alignment horizontal="right" vertical="center"/>
    </xf>
    <xf numFmtId="10" fontId="23" fillId="0" borderId="4" xfId="38" applyNumberFormat="1" applyFont="1" applyFill="1" applyBorder="1" applyAlignment="1" applyProtection="1">
      <alignment horizontal="right" vertical="center"/>
    </xf>
    <xf numFmtId="171" fontId="23" fillId="0" borderId="0" xfId="38" applyNumberFormat="1" applyFont="1" applyFill="1" applyBorder="1" applyAlignment="1" applyProtection="1">
      <alignment vertical="center"/>
    </xf>
    <xf numFmtId="10" fontId="57" fillId="0" borderId="0" xfId="28" applyNumberFormat="1" applyFont="1" applyFill="1" applyBorder="1" applyAlignment="1" applyProtection="1">
      <alignment horizontal="right" vertical="center"/>
    </xf>
    <xf numFmtId="171" fontId="2" fillId="0" borderId="0" xfId="38" applyNumberFormat="1" applyFont="1" applyBorder="1" applyAlignment="1" applyProtection="1">
      <alignment vertical="center"/>
    </xf>
    <xf numFmtId="171" fontId="9" fillId="0" borderId="0" xfId="38" applyNumberFormat="1" applyFont="1" applyFill="1" applyBorder="1" applyAlignment="1" applyProtection="1">
      <alignment vertical="center"/>
    </xf>
    <xf numFmtId="0" fontId="0" fillId="0" borderId="0" xfId="0" applyBorder="1" applyProtection="1"/>
    <xf numFmtId="0" fontId="2" fillId="0" borderId="0" xfId="37" applyFont="1" applyBorder="1" applyAlignment="1" applyProtection="1"/>
    <xf numFmtId="0" fontId="2" fillId="0" borderId="0" xfId="38" applyFont="1" applyBorder="1" applyAlignment="1" applyProtection="1">
      <alignment vertical="center"/>
    </xf>
    <xf numFmtId="10" fontId="2" fillId="17" borderId="0" xfId="38" applyNumberFormat="1" applyFont="1" applyFill="1" applyBorder="1" applyAlignment="1" applyProtection="1">
      <alignment vertical="center"/>
      <protection locked="0"/>
    </xf>
    <xf numFmtId="10" fontId="2" fillId="0" borderId="4" xfId="38" applyNumberFormat="1" applyFont="1" applyFill="1" applyBorder="1" applyAlignment="1" applyProtection="1">
      <alignment vertical="center"/>
      <protection locked="0"/>
    </xf>
    <xf numFmtId="169" fontId="55" fillId="0" borderId="0" xfId="38" applyNumberFormat="1" applyFont="1" applyFill="1" applyBorder="1" applyAlignment="1" applyProtection="1">
      <alignment horizontal="left" vertical="center"/>
    </xf>
    <xf numFmtId="171" fontId="2" fillId="0" borderId="0" xfId="38" applyNumberFormat="1" applyFont="1" applyFill="1" applyBorder="1" applyAlignment="1" applyProtection="1">
      <alignment horizontal="center"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175" fontId="8" fillId="17" borderId="26" xfId="41" applyNumberFormat="1" applyFont="1" applyFill="1" applyBorder="1" applyAlignment="1" applyProtection="1">
      <alignment horizontal="right"/>
      <protection locked="0"/>
    </xf>
    <xf numFmtId="164" fontId="8" fillId="0" borderId="0" xfId="37" applyNumberFormat="1" applyFont="1" applyFill="1" applyBorder="1" applyAlignment="1" applyProtection="1">
      <alignment horizontal="right" vertical="center"/>
    </xf>
    <xf numFmtId="3" fontId="30" fillId="16" borderId="0" xfId="41" applyNumberFormat="1" applyFont="1" applyFill="1" applyBorder="1" applyAlignment="1" applyProtection="1">
      <alignment horizontal="center" vertical="center"/>
    </xf>
    <xf numFmtId="0" fontId="1" fillId="16" borderId="0" xfId="41" applyFont="1" applyFill="1" applyBorder="1" applyAlignment="1" applyProtection="1">
      <alignment horizontal="left" vertical="center"/>
    </xf>
    <xf numFmtId="164" fontId="8" fillId="0" borderId="0" xfId="37" applyNumberFormat="1" applyFont="1" applyFill="1" applyBorder="1" applyAlignment="1" applyProtection="1">
      <alignment vertical="center"/>
    </xf>
    <xf numFmtId="1" fontId="9" fillId="0" borderId="0" xfId="41" applyNumberFormat="1" applyFont="1" applyFill="1" applyBorder="1" applyAlignment="1" applyProtection="1">
      <alignment horizontal="left" vertical="center"/>
    </xf>
    <xf numFmtId="164" fontId="9" fillId="0" borderId="0" xfId="37" applyNumberFormat="1" applyFont="1" applyFill="1" applyBorder="1" applyAlignment="1" applyProtection="1">
      <alignment vertical="center"/>
    </xf>
    <xf numFmtId="1" fontId="3" fillId="0" borderId="5" xfId="12" applyNumberFormat="1" applyFont="1" applyFill="1" applyBorder="1" applyAlignment="1" applyProtection="1">
      <alignment horizontal="center" vertical="center"/>
      <protection locked="0"/>
    </xf>
    <xf numFmtId="10" fontId="2" fillId="0" borderId="0" xfId="37" applyNumberFormat="1" applyFont="1" applyFill="1" applyAlignment="1" applyProtection="1">
      <alignment horizontal="right"/>
      <protection locked="0"/>
    </xf>
    <xf numFmtId="10" fontId="2" fillId="0" borderId="2" xfId="37" applyNumberFormat="1" applyFont="1" applyFill="1" applyBorder="1" applyAlignment="1" applyProtection="1">
      <alignment horizontal="center"/>
    </xf>
    <xf numFmtId="10" fontId="2" fillId="0" borderId="0" xfId="37" applyNumberFormat="1" applyFont="1" applyFill="1" applyBorder="1" applyAlignment="1" applyProtection="1">
      <alignment horizontal="center"/>
    </xf>
    <xf numFmtId="3" fontId="30" fillId="16" borderId="0" xfId="41" applyNumberFormat="1" applyFont="1" applyFill="1" applyBorder="1" applyAlignment="1" applyProtection="1">
      <alignment horizontal="center"/>
    </xf>
    <xf numFmtId="0" fontId="1" fillId="16" borderId="0" xfId="38" applyFont="1" applyFill="1" applyBorder="1" applyAlignment="1" applyProtection="1">
      <alignment vertical="center"/>
    </xf>
    <xf numFmtId="0" fontId="2" fillId="16" borderId="0" xfId="38" applyFill="1" applyBorder="1" applyAlignment="1" applyProtection="1">
      <alignment vertical="center"/>
    </xf>
    <xf numFmtId="0" fontId="5" fillId="16" borderId="0" xfId="41" applyFont="1" applyFill="1" applyProtection="1"/>
    <xf numFmtId="0" fontId="2" fillId="16" borderId="0" xfId="37" applyFont="1" applyFill="1" applyBorder="1" applyAlignment="1" applyProtection="1">
      <alignment vertical="center"/>
    </xf>
    <xf numFmtId="0" fontId="2" fillId="16" borderId="0" xfId="38" applyFont="1" applyFill="1" applyBorder="1" applyAlignment="1" applyProtection="1">
      <alignment vertical="center"/>
    </xf>
    <xf numFmtId="169" fontId="1" fillId="16" borderId="0" xfId="38" applyNumberFormat="1" applyFont="1" applyFill="1" applyBorder="1" applyAlignment="1" applyProtection="1">
      <alignment horizontal="right" vertical="center"/>
    </xf>
    <xf numFmtId="171" fontId="9" fillId="16" borderId="0" xfId="37" applyNumberFormat="1" applyFont="1" applyFill="1" applyBorder="1" applyAlignment="1" applyProtection="1">
      <alignment vertical="center"/>
    </xf>
    <xf numFmtId="0" fontId="5" fillId="16" borderId="0" xfId="41" applyFont="1" applyFill="1" applyBorder="1" applyProtection="1"/>
    <xf numFmtId="171" fontId="2" fillId="16" borderId="0" xfId="38" applyNumberFormat="1" applyFont="1" applyFill="1" applyBorder="1" applyAlignment="1" applyProtection="1">
      <alignment vertical="center"/>
    </xf>
    <xf numFmtId="9" fontId="2" fillId="16" borderId="0" xfId="37" applyNumberFormat="1" applyFont="1" applyFill="1" applyBorder="1" applyAlignment="1" applyProtection="1">
      <alignment horizontal="center"/>
    </xf>
    <xf numFmtId="10" fontId="2" fillId="16" borderId="0" xfId="37" applyNumberFormat="1" applyFont="1" applyFill="1" applyBorder="1" applyAlignment="1" applyProtection="1">
      <alignment horizontal="center"/>
    </xf>
    <xf numFmtId="170" fontId="7" fillId="16" borderId="0" xfId="37" applyNumberFormat="1" applyFont="1" applyFill="1" applyBorder="1" applyProtection="1"/>
    <xf numFmtId="10" fontId="62" fillId="0" borderId="0" xfId="38" applyNumberFormat="1" applyFont="1" applyFill="1" applyBorder="1" applyAlignment="1" applyProtection="1">
      <alignment horizontal="righ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164" fontId="8" fillId="16" borderId="17" xfId="41" applyNumberFormat="1" applyFont="1" applyFill="1" applyBorder="1" applyAlignment="1" applyProtection="1"/>
    <xf numFmtId="0" fontId="56" fillId="0" borderId="0" xfId="38" applyFont="1" applyAlignment="1" applyProtection="1">
      <alignment vertical="center"/>
    </xf>
    <xf numFmtId="10" fontId="2" fillId="17" borderId="21" xfId="38" applyNumberFormat="1" applyFont="1" applyFill="1" applyBorder="1" applyAlignment="1" applyProtection="1">
      <alignment horizontal="right" vertical="center"/>
      <protection locked="0"/>
    </xf>
    <xf numFmtId="10" fontId="1" fillId="16" borderId="0" xfId="28" applyNumberFormat="1" applyFont="1" applyFill="1" applyAlignment="1" applyProtection="1">
      <alignment horizontal="right" vertical="center"/>
    </xf>
    <xf numFmtId="0" fontId="9" fillId="16" borderId="0" xfId="41" applyFont="1" applyFill="1" applyBorder="1" applyAlignment="1" applyProtection="1">
      <alignment horizontal="left"/>
    </xf>
    <xf numFmtId="0" fontId="0" fillId="0" borderId="0" xfId="0" applyBorder="1" applyAlignment="1" applyProtection="1"/>
    <xf numFmtId="10" fontId="60" fillId="0" borderId="0" xfId="41" applyNumberFormat="1" applyFont="1" applyFill="1" applyProtection="1"/>
    <xf numFmtId="0" fontId="18" fillId="16" borderId="0" xfId="41" applyFont="1" applyFill="1" applyBorder="1" applyProtection="1"/>
    <xf numFmtId="164" fontId="1" fillId="16" borderId="0" xfId="41" applyNumberFormat="1" applyFont="1" applyFill="1" applyBorder="1" applyAlignment="1" applyProtection="1">
      <alignment horizontal="right"/>
    </xf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0" fontId="0" fillId="0" borderId="0" xfId="0" applyBorder="1" applyProtection="1"/>
    <xf numFmtId="0" fontId="13" fillId="16" borderId="0" xfId="41" applyFont="1" applyFill="1" applyBorder="1" applyAlignment="1" applyProtection="1">
      <alignment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 applyBorder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64" fontId="1" fillId="16" borderId="0" xfId="37" applyNumberFormat="1" applyFont="1" applyFill="1" applyProtection="1"/>
    <xf numFmtId="9" fontId="2" fillId="16" borderId="0" xfId="37" applyNumberFormat="1" applyFont="1" applyFill="1" applyProtection="1"/>
    <xf numFmtId="0" fontId="0" fillId="0" borderId="0" xfId="0" applyProtection="1"/>
    <xf numFmtId="0" fontId="58" fillId="18" borderId="0" xfId="37" applyFont="1" applyFill="1" applyBorder="1" applyProtection="1"/>
    <xf numFmtId="169" fontId="58" fillId="18" borderId="0" xfId="37" applyNumberFormat="1" applyFont="1" applyFill="1" applyBorder="1" applyProtection="1"/>
    <xf numFmtId="0" fontId="54" fillId="18" borderId="0" xfId="37" applyFont="1" applyFill="1" applyBorder="1" applyProtection="1"/>
    <xf numFmtId="9" fontId="54" fillId="18" borderId="0" xfId="37" applyNumberFormat="1" applyFont="1" applyFill="1" applyBorder="1" applyAlignment="1" applyProtection="1">
      <alignment horizontal="center"/>
    </xf>
    <xf numFmtId="164" fontId="58" fillId="18" borderId="0" xfId="37" applyNumberFormat="1" applyFont="1" applyFill="1" applyBorder="1" applyProtection="1"/>
    <xf numFmtId="0" fontId="58" fillId="18" borderId="0" xfId="37" applyFont="1" applyFill="1" applyBorder="1" applyAlignment="1" applyProtection="1">
      <alignment horizontal="right"/>
    </xf>
    <xf numFmtId="10" fontId="2" fillId="17" borderId="0" xfId="37" applyNumberFormat="1" applyFont="1" applyFill="1" applyAlignment="1" applyProtection="1">
      <alignment horizontal="right"/>
      <protection locked="0"/>
    </xf>
    <xf numFmtId="175" fontId="8" fillId="17" borderId="26" xfId="41" applyNumberFormat="1" applyFont="1" applyFill="1" applyBorder="1" applyProtection="1">
      <protection locked="0"/>
    </xf>
    <xf numFmtId="176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0" fontId="0" fillId="0" borderId="0" xfId="0" applyProtection="1"/>
    <xf numFmtId="0" fontId="1" fillId="16" borderId="0" xfId="41" applyFont="1" applyFill="1" applyAlignment="1" applyProtection="1">
      <alignment horizontal="left" vertical="center"/>
    </xf>
    <xf numFmtId="0" fontId="18" fillId="16" borderId="0" xfId="41" applyFont="1" applyFill="1" applyBorder="1" applyAlignment="1" applyProtection="1">
      <alignment vertical="center"/>
    </xf>
    <xf numFmtId="0" fontId="0" fillId="0" borderId="0" xfId="0" applyBorder="1" applyProtection="1"/>
    <xf numFmtId="169" fontId="55" fillId="0" borderId="0" xfId="38" applyNumberFormat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16" borderId="0" xfId="37" applyFont="1" applyFill="1" applyProtection="1"/>
    <xf numFmtId="0" fontId="1" fillId="16" borderId="0" xfId="37" applyFont="1" applyFill="1" applyAlignment="1" applyProtection="1">
      <alignment horizontal="right"/>
    </xf>
    <xf numFmtId="169" fontId="1" fillId="16" borderId="0" xfId="37" applyNumberFormat="1" applyFont="1" applyFill="1" applyProtection="1"/>
    <xf numFmtId="0" fontId="2" fillId="16" borderId="0" xfId="37" applyFont="1" applyFill="1" applyProtection="1"/>
    <xf numFmtId="1" fontId="3" fillId="17" borderId="5" xfId="12" applyNumberFormat="1" applyFont="1" applyFill="1" applyBorder="1" applyAlignment="1" applyProtection="1">
      <alignment horizontal="center" vertical="center"/>
      <protection locked="0"/>
    </xf>
    <xf numFmtId="0" fontId="58" fillId="18" borderId="0" xfId="37" applyFont="1" applyFill="1" applyBorder="1" applyProtection="1"/>
    <xf numFmtId="169" fontId="58" fillId="18" borderId="0" xfId="37" applyNumberFormat="1" applyFont="1" applyFill="1" applyBorder="1" applyProtection="1"/>
    <xf numFmtId="0" fontId="54" fillId="18" borderId="0" xfId="37" applyFont="1" applyFill="1" applyBorder="1" applyProtection="1"/>
    <xf numFmtId="9" fontId="54" fillId="18" borderId="0" xfId="37" applyNumberFormat="1" applyFont="1" applyFill="1" applyBorder="1" applyAlignment="1" applyProtection="1">
      <alignment horizontal="center"/>
    </xf>
    <xf numFmtId="0" fontId="58" fillId="18" borderId="0" xfId="37" applyFont="1" applyFill="1" applyBorder="1" applyAlignment="1" applyProtection="1">
      <alignment horizontal="right"/>
    </xf>
    <xf numFmtId="176" fontId="2" fillId="17" borderId="0" xfId="38" applyNumberFormat="1" applyFont="1" applyFill="1" applyAlignment="1" applyProtection="1">
      <alignment horizontal="right" vertical="center"/>
      <protection locked="0"/>
    </xf>
    <xf numFmtId="1" fontId="9" fillId="16" borderId="0" xfId="41" applyNumberFormat="1" applyFont="1" applyFill="1" applyBorder="1" applyAlignment="1" applyProtection="1">
      <alignment horizontal="left" vertical="center"/>
    </xf>
    <xf numFmtId="10" fontId="2" fillId="0" borderId="26" xfId="28" applyNumberFormat="1" applyFont="1" applyFill="1" applyBorder="1" applyAlignment="1" applyProtection="1">
      <alignment horizontal="right"/>
      <protection locked="0"/>
    </xf>
    <xf numFmtId="49" fontId="5" fillId="0" borderId="0" xfId="41" applyNumberFormat="1" applyFont="1" applyFill="1" applyBorder="1" applyAlignment="1" applyProtection="1">
      <alignment horizontal="center"/>
    </xf>
    <xf numFmtId="0" fontId="9" fillId="0" borderId="4" xfId="41" applyFont="1" applyFill="1" applyBorder="1" applyAlignment="1" applyProtection="1">
      <alignment vertical="center"/>
    </xf>
    <xf numFmtId="0" fontId="13" fillId="0" borderId="0" xfId="41" applyFont="1" applyFill="1" applyBorder="1" applyAlignment="1" applyProtection="1"/>
    <xf numFmtId="3" fontId="8" fillId="0" borderId="0" xfId="41" applyNumberFormat="1" applyFont="1" applyFill="1" applyBorder="1" applyAlignment="1" applyProtection="1">
      <alignment vertical="center"/>
    </xf>
    <xf numFmtId="0" fontId="23" fillId="0" borderId="0" xfId="38" applyFont="1" applyBorder="1" applyAlignment="1" applyProtection="1">
      <alignment vertical="center"/>
    </xf>
    <xf numFmtId="0" fontId="63" fillId="0" borderId="0" xfId="38" applyFont="1" applyBorder="1" applyAlignment="1" applyProtection="1">
      <alignment vertical="center"/>
    </xf>
    <xf numFmtId="10" fontId="65" fillId="0" borderId="0" xfId="38" applyNumberFormat="1" applyFont="1" applyFill="1" applyBorder="1" applyAlignment="1" applyProtection="1">
      <alignment horizontal="right" vertical="center"/>
      <protection locked="0"/>
    </xf>
    <xf numFmtId="10" fontId="2" fillId="0" borderId="0" xfId="38" applyNumberFormat="1" applyFont="1" applyFill="1" applyBorder="1" applyAlignment="1" applyProtection="1">
      <alignment vertical="center"/>
      <protection locked="0"/>
    </xf>
    <xf numFmtId="49" fontId="5" fillId="0" borderId="27" xfId="41" applyNumberFormat="1" applyFont="1" applyFill="1" applyBorder="1" applyAlignment="1" applyProtection="1">
      <alignment horizontal="center"/>
    </xf>
    <xf numFmtId="168" fontId="5" fillId="0" borderId="27" xfId="41" applyNumberFormat="1" applyFont="1" applyFill="1" applyBorder="1" applyAlignment="1" applyProtection="1">
      <alignment horizontal="left"/>
    </xf>
    <xf numFmtId="0" fontId="5" fillId="0" borderId="27" xfId="41" applyFont="1" applyFill="1" applyBorder="1" applyProtection="1"/>
    <xf numFmtId="10" fontId="23" fillId="17" borderId="25" xfId="38" applyNumberFormat="1" applyFont="1" applyFill="1" applyBorder="1" applyAlignment="1" applyProtection="1">
      <alignment horizontal="right" vertical="center"/>
      <protection locked="0"/>
    </xf>
    <xf numFmtId="10" fontId="23" fillId="17" borderId="0" xfId="38" applyNumberFormat="1" applyFont="1" applyFill="1" applyBorder="1" applyAlignment="1" applyProtection="1">
      <alignment vertical="center"/>
      <protection locked="0"/>
    </xf>
    <xf numFmtId="10" fontId="23" fillId="17" borderId="4" xfId="38" applyNumberFormat="1" applyFont="1" applyFill="1" applyBorder="1" applyAlignment="1" applyProtection="1">
      <alignment vertical="center"/>
      <protection locked="0"/>
    </xf>
    <xf numFmtId="10" fontId="23" fillId="17" borderId="21" xfId="38" applyNumberFormat="1" applyFont="1" applyFill="1" applyBorder="1" applyAlignment="1" applyProtection="1">
      <alignment horizontal="right" vertical="center"/>
      <protection locked="0"/>
    </xf>
    <xf numFmtId="164" fontId="2" fillId="0" borderId="0" xfId="37" applyNumberFormat="1" applyFont="1" applyFill="1" applyAlignment="1" applyProtection="1"/>
    <xf numFmtId="164" fontId="23" fillId="0" borderId="0" xfId="37" applyNumberFormat="1" applyFont="1" applyFill="1" applyAlignment="1" applyProtection="1"/>
    <xf numFmtId="164" fontId="23" fillId="0" borderId="4" xfId="37" applyNumberFormat="1" applyFont="1" applyFill="1" applyBorder="1" applyAlignment="1" applyProtection="1"/>
    <xf numFmtId="9" fontId="5" fillId="16" borderId="21" xfId="41" applyNumberFormat="1" applyFont="1" applyFill="1" applyBorder="1" applyAlignment="1" applyProtection="1">
      <alignment horizontal="right"/>
      <protection locked="0"/>
    </xf>
    <xf numFmtId="164" fontId="1" fillId="0" borderId="0" xfId="37" applyNumberFormat="1" applyFont="1" applyFill="1" applyAlignment="1" applyProtection="1"/>
    <xf numFmtId="164" fontId="2" fillId="0" borderId="7" xfId="37" applyNumberFormat="1" applyFont="1" applyFill="1" applyBorder="1" applyAlignment="1" applyProtection="1"/>
    <xf numFmtId="10" fontId="64" fillId="0" borderId="0" xfId="28" applyNumberFormat="1" applyFont="1" applyFill="1" applyBorder="1" applyAlignment="1" applyProtection="1">
      <alignment horizontal="right" vertical="center"/>
    </xf>
    <xf numFmtId="10" fontId="23" fillId="0" borderId="0" xfId="38" applyNumberFormat="1" applyFont="1" applyFill="1" applyBorder="1" applyAlignment="1" applyProtection="1">
      <alignment horizontal="right" vertical="center"/>
    </xf>
    <xf numFmtId="164" fontId="23" fillId="0" borderId="0" xfId="37" applyNumberFormat="1" applyFont="1" applyFill="1" applyBorder="1" applyAlignment="1" applyProtection="1"/>
    <xf numFmtId="0" fontId="3" fillId="0" borderId="0" xfId="12" applyFont="1" applyFill="1" applyBorder="1" applyAlignment="1" applyProtection="1">
      <alignment horizontal="center" vertical="center"/>
    </xf>
    <xf numFmtId="9" fontId="54" fillId="0" borderId="0" xfId="37" applyNumberFormat="1" applyFont="1" applyFill="1" applyBorder="1" applyAlignment="1" applyProtection="1">
      <alignment horizontal="center"/>
    </xf>
    <xf numFmtId="3" fontId="16" fillId="0" borderId="0" xfId="41" applyNumberFormat="1" applyFont="1" applyFill="1" applyBorder="1" applyProtection="1"/>
    <xf numFmtId="10" fontId="23" fillId="17" borderId="21" xfId="38" applyNumberFormat="1" applyFont="1" applyFill="1" applyBorder="1" applyAlignment="1" applyProtection="1">
      <alignment vertical="center"/>
      <protection locked="0"/>
    </xf>
    <xf numFmtId="10" fontId="23" fillId="17" borderId="25" xfId="38" applyNumberFormat="1" applyFont="1" applyFill="1" applyBorder="1" applyAlignment="1" applyProtection="1">
      <alignment vertical="center"/>
      <protection locked="0"/>
    </xf>
    <xf numFmtId="10" fontId="62" fillId="0" borderId="0" xfId="38" applyNumberFormat="1" applyFont="1" applyFill="1" applyBorder="1" applyAlignment="1" applyProtection="1">
      <alignment horizontal="right"/>
    </xf>
    <xf numFmtId="171" fontId="19" fillId="0" borderId="0" xfId="37" applyNumberFormat="1" applyFont="1" applyFill="1" applyProtection="1"/>
    <xf numFmtId="176" fontId="2" fillId="0" borderId="0" xfId="38" applyNumberFormat="1" applyFont="1" applyFill="1" applyAlignment="1" applyProtection="1">
      <alignment horizontal="right" vertical="center"/>
      <protection locked="0"/>
    </xf>
    <xf numFmtId="0" fontId="5" fillId="0" borderId="7" xfId="41" applyFont="1" applyFill="1" applyBorder="1" applyAlignment="1" applyProtection="1"/>
    <xf numFmtId="182" fontId="2" fillId="0" borderId="22" xfId="38" applyNumberFormat="1" applyFont="1" applyFill="1" applyBorder="1" applyAlignment="1" applyProtection="1">
      <alignment vertical="center"/>
      <protection locked="0"/>
    </xf>
    <xf numFmtId="182" fontId="23" fillId="0" borderId="22" xfId="38" applyNumberFormat="1" applyFont="1" applyFill="1" applyBorder="1" applyAlignment="1" applyProtection="1">
      <alignment vertical="center"/>
      <protection locked="0"/>
    </xf>
    <xf numFmtId="182" fontId="8" fillId="0" borderId="7" xfId="38" applyNumberFormat="1" applyFont="1" applyFill="1" applyBorder="1" applyAlignment="1" applyProtection="1"/>
    <xf numFmtId="164" fontId="9" fillId="0" borderId="27" xfId="41" applyNumberFormat="1" applyFont="1" applyFill="1" applyBorder="1" applyAlignment="1" applyProtection="1"/>
    <xf numFmtId="0" fontId="2" fillId="0" borderId="0" xfId="37" applyFont="1" applyFill="1" applyAlignment="1" applyProtection="1">
      <alignment horizontal="right"/>
    </xf>
    <xf numFmtId="9" fontId="6" fillId="0" borderId="28" xfId="41" applyNumberFormat="1" applyFont="1" applyBorder="1" applyAlignment="1" applyProtection="1">
      <alignment horizontal="right"/>
    </xf>
    <xf numFmtId="9" fontId="5" fillId="0" borderId="28" xfId="41" applyNumberFormat="1" applyFont="1" applyBorder="1" applyAlignment="1" applyProtection="1">
      <alignment horizontal="right"/>
    </xf>
    <xf numFmtId="9" fontId="5" fillId="0" borderId="28" xfId="41" applyNumberFormat="1" applyFont="1" applyFill="1" applyBorder="1" applyAlignment="1" applyProtection="1">
      <alignment horizontal="right"/>
    </xf>
    <xf numFmtId="9" fontId="5" fillId="0" borderId="20" xfId="41" applyNumberFormat="1" applyFont="1" applyFill="1" applyBorder="1" applyAlignment="1" applyProtection="1">
      <alignment horizontal="right"/>
    </xf>
    <xf numFmtId="1" fontId="9" fillId="16" borderId="0" xfId="41" applyNumberFormat="1" applyFont="1" applyFill="1" applyBorder="1" applyAlignment="1" applyProtection="1">
      <alignment horizontal="lef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164" fontId="9" fillId="0" borderId="0" xfId="41" applyNumberFormat="1" applyFont="1" applyFill="1" applyBorder="1" applyAlignment="1" applyProtection="1"/>
    <xf numFmtId="0" fontId="67" fillId="0" borderId="0" xfId="0" applyFont="1" applyFill="1" applyBorder="1"/>
    <xf numFmtId="0" fontId="6" fillId="0" borderId="4" xfId="41" applyFont="1" applyFill="1" applyBorder="1" applyProtection="1"/>
    <xf numFmtId="173" fontId="5" fillId="0" borderId="4" xfId="41" applyNumberFormat="1" applyFont="1" applyFill="1" applyBorder="1" applyAlignment="1" applyProtection="1">
      <alignment horizontal="right" vertical="center"/>
    </xf>
    <xf numFmtId="164" fontId="9" fillId="0" borderId="4" xfId="41" applyNumberFormat="1" applyFont="1" applyFill="1" applyBorder="1" applyAlignment="1" applyProtection="1"/>
    <xf numFmtId="0" fontId="6" fillId="0" borderId="4" xfId="41" applyFont="1" applyFill="1" applyBorder="1" applyAlignment="1" applyProtection="1"/>
    <xf numFmtId="0" fontId="6" fillId="0" borderId="0" xfId="41" applyFont="1" applyFill="1" applyBorder="1" applyAlignment="1" applyProtection="1"/>
    <xf numFmtId="0" fontId="5" fillId="0" borderId="0" xfId="41" applyFont="1" applyFill="1" applyAlignment="1" applyProtection="1"/>
    <xf numFmtId="164" fontId="1" fillId="16" borderId="0" xfId="37" applyNumberFormat="1" applyFont="1" applyFill="1" applyAlignment="1" applyProtection="1"/>
    <xf numFmtId="3" fontId="5" fillId="0" borderId="0" xfId="41" applyNumberFormat="1" applyFont="1" applyAlignment="1" applyProtection="1"/>
    <xf numFmtId="1" fontId="9" fillId="16" borderId="0" xfId="41" applyNumberFormat="1" applyFont="1" applyFill="1" applyBorder="1" applyAlignment="1" applyProtection="1"/>
    <xf numFmtId="9" fontId="2" fillId="0" borderId="0" xfId="37" applyNumberFormat="1" applyFont="1" applyAlignment="1" applyProtection="1"/>
    <xf numFmtId="1" fontId="5" fillId="0" borderId="30" xfId="41" applyNumberFormat="1" applyFont="1" applyFill="1" applyBorder="1" applyAlignment="1" applyProtection="1">
      <alignment horizontal="left"/>
    </xf>
    <xf numFmtId="0" fontId="68" fillId="0" borderId="0" xfId="41" applyFont="1" applyBorder="1" applyAlignment="1" applyProtection="1">
      <alignment horizontal="left" vertical="center"/>
    </xf>
    <xf numFmtId="164" fontId="8" fillId="16" borderId="28" xfId="41" applyNumberFormat="1" applyFont="1" applyFill="1" applyBorder="1" applyAlignment="1" applyProtection="1"/>
    <xf numFmtId="9" fontId="5" fillId="20" borderId="20" xfId="41" applyNumberFormat="1" applyFont="1" applyFill="1" applyBorder="1" applyAlignment="1" applyProtection="1">
      <alignment horizontal="right"/>
      <protection locked="0"/>
    </xf>
    <xf numFmtId="1" fontId="3" fillId="20" borderId="4" xfId="12" applyNumberFormat="1" applyFont="1" applyFill="1" applyBorder="1" applyAlignment="1" applyProtection="1">
      <alignment horizontal="center" vertical="center"/>
      <protection locked="0"/>
    </xf>
    <xf numFmtId="1" fontId="3" fillId="20" borderId="5" xfId="12" applyNumberFormat="1" applyFont="1" applyFill="1" applyBorder="1" applyAlignment="1" applyProtection="1">
      <alignment horizontal="center" vertical="center"/>
      <protection locked="0"/>
    </xf>
    <xf numFmtId="10" fontId="2" fillId="20" borderId="0" xfId="38" applyNumberFormat="1" applyFont="1" applyFill="1" applyBorder="1" applyAlignment="1" applyProtection="1">
      <alignment vertical="center"/>
      <protection locked="0"/>
    </xf>
    <xf numFmtId="10" fontId="23" fillId="20" borderId="0" xfId="38" applyNumberFormat="1" applyFont="1" applyFill="1" applyBorder="1" applyAlignment="1" applyProtection="1">
      <alignment vertical="center"/>
      <protection locked="0"/>
    </xf>
    <xf numFmtId="10" fontId="23" fillId="20" borderId="4" xfId="38" applyNumberFormat="1" applyFont="1" applyFill="1" applyBorder="1" applyAlignment="1" applyProtection="1">
      <alignment vertical="center"/>
      <protection locked="0"/>
    </xf>
    <xf numFmtId="175" fontId="8" fillId="20" borderId="26" xfId="41" applyNumberFormat="1" applyFont="1" applyFill="1" applyBorder="1" applyAlignment="1" applyProtection="1">
      <alignment horizontal="right"/>
      <protection locked="0"/>
    </xf>
    <xf numFmtId="10" fontId="2" fillId="20" borderId="0" xfId="37" applyNumberFormat="1" applyFont="1" applyFill="1" applyAlignment="1" applyProtection="1">
      <alignment horizontal="right"/>
      <protection locked="0"/>
    </xf>
    <xf numFmtId="44" fontId="13" fillId="0" borderId="0" xfId="41" applyNumberFormat="1" applyFont="1" applyFill="1" applyBorder="1" applyAlignment="1" applyProtection="1">
      <alignment vertical="center"/>
    </xf>
    <xf numFmtId="166" fontId="13" fillId="0" borderId="0" xfId="21" applyFont="1" applyFill="1" applyBorder="1" applyAlignment="1" applyProtection="1">
      <alignment vertical="center"/>
    </xf>
    <xf numFmtId="164" fontId="8" fillId="16" borderId="20" xfId="41" applyNumberFormat="1" applyFont="1" applyFill="1" applyBorder="1" applyAlignment="1" applyProtection="1"/>
    <xf numFmtId="10" fontId="5" fillId="0" borderId="17" xfId="28" applyNumberFormat="1" applyFont="1" applyFill="1" applyBorder="1" applyAlignment="1" applyProtection="1">
      <alignment horizontal="center" vertical="center"/>
    </xf>
    <xf numFmtId="0" fontId="69" fillId="0" borderId="0" xfId="0" applyFont="1" applyFill="1" applyBorder="1"/>
    <xf numFmtId="0" fontId="70" fillId="0" borderId="31" xfId="0" applyFont="1" applyFill="1" applyBorder="1"/>
    <xf numFmtId="10" fontId="69" fillId="0" borderId="0" xfId="28" applyNumberFormat="1" applyFont="1" applyFill="1" applyBorder="1" applyAlignment="1" applyProtection="1">
      <alignment horizontal="right" vertical="center"/>
    </xf>
    <xf numFmtId="0" fontId="69" fillId="0" borderId="32" xfId="0" applyFont="1" applyFill="1" applyBorder="1"/>
    <xf numFmtId="0" fontId="69" fillId="0" borderId="33" xfId="0" applyFont="1" applyFill="1" applyBorder="1"/>
    <xf numFmtId="0" fontId="71" fillId="0" borderId="34" xfId="41" applyFont="1" applyFill="1" applyBorder="1" applyAlignment="1" applyProtection="1">
      <alignment horizontal="center" vertical="center"/>
    </xf>
    <xf numFmtId="0" fontId="13" fillId="0" borderId="34" xfId="41" applyFont="1" applyFill="1" applyBorder="1" applyAlignment="1" applyProtection="1">
      <alignment vertical="center"/>
    </xf>
    <xf numFmtId="1" fontId="9" fillId="16" borderId="0" xfId="41" applyNumberFormat="1" applyFont="1" applyFill="1" applyBorder="1" applyAlignment="1" applyProtection="1">
      <alignment horizontal="left" vertical="center"/>
    </xf>
    <xf numFmtId="0" fontId="5" fillId="0" borderId="4" xfId="41" applyFont="1" applyFill="1" applyBorder="1" applyAlignment="1" applyProtection="1">
      <alignment horizontal="center" vertical="center"/>
    </xf>
    <xf numFmtId="10" fontId="5" fillId="0" borderId="0" xfId="41" applyNumberFormat="1" applyFont="1" applyFill="1" applyBorder="1" applyAlignment="1" applyProtection="1">
      <alignment horizontal="right" vertical="center"/>
    </xf>
    <xf numFmtId="0" fontId="55" fillId="0" borderId="35" xfId="41" applyFont="1" applyFill="1" applyBorder="1" applyAlignment="1" applyProtection="1">
      <alignment horizontal="center" vertical="center" wrapText="1"/>
    </xf>
    <xf numFmtId="1" fontId="9" fillId="16" borderId="0" xfId="41" applyNumberFormat="1" applyFont="1" applyFill="1" applyBorder="1" applyAlignment="1" applyProtection="1">
      <alignment horizontal="lef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0" fontId="26" fillId="17" borderId="0" xfId="41" applyFont="1" applyFill="1" applyAlignment="1" applyProtection="1">
      <alignment vertical="center"/>
    </xf>
    <xf numFmtId="177" fontId="8" fillId="0" borderId="0" xfId="41" applyNumberFormat="1" applyFont="1" applyFill="1" applyBorder="1" applyAlignment="1" applyProtection="1">
      <protection locked="0"/>
    </xf>
    <xf numFmtId="164" fontId="8" fillId="0" borderId="24" xfId="41" applyNumberFormat="1" applyFont="1" applyFill="1" applyBorder="1" applyAlignment="1" applyProtection="1">
      <protection locked="0"/>
    </xf>
    <xf numFmtId="164" fontId="8" fillId="17" borderId="20" xfId="41" applyNumberFormat="1" applyFont="1" applyFill="1" applyBorder="1" applyAlignment="1" applyProtection="1">
      <protection locked="0"/>
    </xf>
    <xf numFmtId="164" fontId="8" fillId="16" borderId="0" xfId="41" applyNumberFormat="1" applyFont="1" applyFill="1" applyBorder="1" applyAlignment="1" applyProtection="1"/>
    <xf numFmtId="1" fontId="9" fillId="16" borderId="20" xfId="41" applyNumberFormat="1" applyFont="1" applyFill="1" applyBorder="1" applyAlignment="1" applyProtection="1">
      <alignment horizontal="center"/>
    </xf>
    <xf numFmtId="167" fontId="9" fillId="16" borderId="20" xfId="41" applyNumberFormat="1" applyFont="1" applyFill="1" applyBorder="1" applyAlignment="1" applyProtection="1">
      <alignment horizontal="left"/>
    </xf>
    <xf numFmtId="0" fontId="9" fillId="16" borderId="20" xfId="41" applyFont="1" applyFill="1" applyBorder="1" applyAlignment="1" applyProtection="1"/>
    <xf numFmtId="0" fontId="6" fillId="16" borderId="20" xfId="41" applyFont="1" applyFill="1" applyBorder="1" applyAlignment="1" applyProtection="1"/>
    <xf numFmtId="0" fontId="5" fillId="16" borderId="20" xfId="41" applyFont="1" applyFill="1" applyBorder="1" applyAlignment="1" applyProtection="1"/>
    <xf numFmtId="1" fontId="9" fillId="16" borderId="21" xfId="41" applyNumberFormat="1" applyFont="1" applyFill="1" applyBorder="1" applyAlignment="1" applyProtection="1">
      <alignment horizontal="left" vertical="center"/>
    </xf>
    <xf numFmtId="167" fontId="9" fillId="16" borderId="21" xfId="41" applyNumberFormat="1" applyFont="1" applyFill="1" applyBorder="1" applyAlignment="1" applyProtection="1">
      <alignment horizontal="left" vertical="center"/>
    </xf>
    <xf numFmtId="0" fontId="9" fillId="16" borderId="21" xfId="41" applyFont="1" applyFill="1" applyBorder="1" applyAlignment="1" applyProtection="1">
      <alignment vertical="center"/>
    </xf>
    <xf numFmtId="0" fontId="8" fillId="16" borderId="21" xfId="41" applyFont="1" applyFill="1" applyBorder="1" applyAlignment="1" applyProtection="1">
      <alignment vertical="center"/>
    </xf>
    <xf numFmtId="164" fontId="8" fillId="17" borderId="20" xfId="41" applyNumberFormat="1" applyFont="1" applyFill="1" applyBorder="1" applyProtection="1">
      <protection locked="0"/>
    </xf>
    <xf numFmtId="1" fontId="9" fillId="16" borderId="21" xfId="41" applyNumberFormat="1" applyFont="1" applyFill="1" applyBorder="1" applyAlignment="1" applyProtection="1">
      <alignment horizontal="center" vertical="center"/>
    </xf>
    <xf numFmtId="0" fontId="6" fillId="16" borderId="21" xfId="41" applyFont="1" applyFill="1" applyBorder="1" applyAlignment="1" applyProtection="1">
      <alignment vertical="center"/>
    </xf>
    <xf numFmtId="0" fontId="5" fillId="16" borderId="21" xfId="41" applyFont="1" applyFill="1" applyBorder="1" applyAlignment="1" applyProtection="1">
      <alignment vertical="center"/>
    </xf>
    <xf numFmtId="10" fontId="5" fillId="0" borderId="17" xfId="41" applyNumberFormat="1" applyFont="1" applyFill="1" applyBorder="1" applyAlignment="1" applyProtection="1">
      <alignment horizontal="right" vertical="center"/>
    </xf>
    <xf numFmtId="10" fontId="5" fillId="16" borderId="17" xfId="28" applyNumberFormat="1" applyFont="1" applyFill="1" applyBorder="1" applyAlignment="1" applyProtection="1">
      <alignment horizontal="right" vertical="center"/>
    </xf>
    <xf numFmtId="0" fontId="5" fillId="0" borderId="0" xfId="41" applyFont="1" applyBorder="1" applyAlignment="1" applyProtection="1">
      <alignment horizontal="right"/>
    </xf>
    <xf numFmtId="10" fontId="2" fillId="16" borderId="0" xfId="41" applyNumberFormat="1" applyFont="1" applyFill="1" applyBorder="1" applyAlignment="1" applyProtection="1">
      <alignment horizontal="right"/>
    </xf>
    <xf numFmtId="9" fontId="1" fillId="16" borderId="0" xfId="41" applyNumberFormat="1" applyFont="1" applyFill="1" applyBorder="1" applyAlignment="1" applyProtection="1">
      <alignment horizontal="right"/>
    </xf>
    <xf numFmtId="0" fontId="5" fillId="0" borderId="0" xfId="41" applyFont="1" applyAlignment="1" applyProtection="1">
      <alignment horizontal="right"/>
    </xf>
    <xf numFmtId="0" fontId="5" fillId="0" borderId="0" xfId="41" applyFont="1" applyFill="1" applyAlignment="1" applyProtection="1">
      <alignment horizontal="right"/>
    </xf>
    <xf numFmtId="10" fontId="16" fillId="0" borderId="0" xfId="41" applyNumberFormat="1" applyFont="1" applyBorder="1" applyAlignment="1" applyProtection="1">
      <alignment horizontal="right" wrapText="1"/>
    </xf>
    <xf numFmtId="10" fontId="60" fillId="0" borderId="35" xfId="41" applyNumberFormat="1" applyFont="1" applyFill="1" applyBorder="1" applyAlignment="1" applyProtection="1">
      <alignment horizontal="right" vertical="center"/>
    </xf>
    <xf numFmtId="10" fontId="60" fillId="0" borderId="36" xfId="41" applyNumberFormat="1" applyFont="1" applyFill="1" applyBorder="1" applyAlignment="1" applyProtection="1">
      <alignment horizontal="right" vertical="center"/>
    </xf>
    <xf numFmtId="10" fontId="60" fillId="0" borderId="34" xfId="41" applyNumberFormat="1" applyFont="1" applyFill="1" applyBorder="1" applyAlignment="1" applyProtection="1">
      <alignment horizontal="right" vertical="center"/>
    </xf>
    <xf numFmtId="44" fontId="13" fillId="0" borderId="0" xfId="41" applyNumberFormat="1" applyFont="1" applyFill="1" applyBorder="1" applyAlignment="1" applyProtection="1">
      <alignment horizontal="right" vertical="center"/>
    </xf>
    <xf numFmtId="174" fontId="8" fillId="17" borderId="0" xfId="41" applyNumberFormat="1" applyFont="1" applyFill="1" applyBorder="1" applyAlignment="1" applyProtection="1">
      <protection locked="0"/>
    </xf>
    <xf numFmtId="183" fontId="8" fillId="17" borderId="24" xfId="41" applyNumberFormat="1" applyFont="1" applyFill="1" applyBorder="1" applyAlignment="1" applyProtection="1">
      <protection locked="0"/>
    </xf>
    <xf numFmtId="0" fontId="8" fillId="0" borderId="4" xfId="41" applyFont="1" applyFill="1" applyBorder="1" applyAlignment="1" applyProtection="1">
      <alignment horizontal="center" vertical="center" wrapText="1"/>
    </xf>
    <xf numFmtId="0" fontId="8" fillId="0" borderId="4" xfId="41" applyFont="1" applyFill="1" applyBorder="1" applyAlignment="1" applyProtection="1">
      <alignment horizontal="center" vertical="center"/>
    </xf>
    <xf numFmtId="0" fontId="31" fillId="0" borderId="0" xfId="37" applyFont="1" applyFill="1" applyBorder="1" applyAlignment="1" applyProtection="1">
      <alignment vertical="center"/>
    </xf>
    <xf numFmtId="0" fontId="67" fillId="0" borderId="0" xfId="37" applyFont="1" applyFill="1" applyBorder="1" applyAlignment="1" applyProtection="1">
      <alignment vertical="center"/>
    </xf>
    <xf numFmtId="0" fontId="67" fillId="0" borderId="0" xfId="37" applyFont="1" applyFill="1" applyBorder="1" applyAlignment="1" applyProtection="1"/>
    <xf numFmtId="1" fontId="9" fillId="16" borderId="0" xfId="41" applyNumberFormat="1" applyFont="1" applyFill="1" applyBorder="1" applyAlignment="1" applyProtection="1">
      <alignment horizontal="left" vertical="center"/>
    </xf>
    <xf numFmtId="10" fontId="16" fillId="0" borderId="0" xfId="41" applyNumberFormat="1" applyFont="1" applyBorder="1" applyAlignment="1" applyProtection="1">
      <alignment horizontal="right" wrapText="1"/>
    </xf>
    <xf numFmtId="0" fontId="3" fillId="0" borderId="5" xfId="12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4" xfId="12" applyFont="1" applyBorder="1" applyAlignment="1" applyProtection="1">
      <alignment horizontal="center" vertical="center"/>
    </xf>
    <xf numFmtId="176" fontId="2" fillId="20" borderId="29" xfId="38" applyNumberFormat="1" applyFont="1" applyFill="1" applyBorder="1" applyAlignment="1" applyProtection="1">
      <alignment horizontal="right" vertical="center"/>
      <protection locked="0"/>
    </xf>
    <xf numFmtId="176" fontId="2" fillId="20" borderId="0" xfId="38" applyNumberFormat="1" applyFont="1" applyFill="1" applyAlignment="1" applyProtection="1">
      <alignment horizontal="right" vertical="center"/>
      <protection locked="0"/>
    </xf>
    <xf numFmtId="10" fontId="2" fillId="0" borderId="29" xfId="28" applyNumberFormat="1" applyFont="1" applyFill="1" applyBorder="1" applyAlignment="1" applyProtection="1">
      <alignment horizontal="right" vertical="center"/>
      <protection locked="0"/>
    </xf>
    <xf numFmtId="10" fontId="2" fillId="0" borderId="0" xfId="28" applyNumberFormat="1" applyFont="1" applyFill="1" applyAlignment="1" applyProtection="1">
      <alignment horizontal="right" vertical="center"/>
      <protection locked="0"/>
    </xf>
    <xf numFmtId="176" fontId="2" fillId="17" borderId="29" xfId="38" applyNumberFormat="1" applyFont="1" applyFill="1" applyBorder="1" applyAlignment="1" applyProtection="1">
      <alignment horizontal="right" vertical="center"/>
      <protection locked="0"/>
    </xf>
    <xf numFmtId="176" fontId="2" fillId="17" borderId="0" xfId="38" applyNumberFormat="1" applyFont="1" applyFill="1" applyAlignment="1" applyProtection="1">
      <alignment horizontal="right" vertical="center"/>
      <protection locked="0"/>
    </xf>
    <xf numFmtId="0" fontId="72" fillId="0" borderId="0" xfId="0" applyFont="1" applyAlignment="1">
      <alignment horizontal="left" vertical="center" wrapText="1"/>
    </xf>
    <xf numFmtId="173" fontId="5" fillId="0" borderId="0" xfId="41" applyNumberFormat="1" applyFont="1" applyFill="1" applyBorder="1" applyAlignment="1" applyProtection="1">
      <alignment horizontal="right" vertical="center"/>
    </xf>
    <xf numFmtId="173" fontId="5" fillId="0" borderId="17" xfId="41" applyNumberFormat="1" applyFont="1" applyFill="1" applyBorder="1" applyAlignment="1" applyProtection="1">
      <alignment horizontal="right" vertical="center"/>
    </xf>
    <xf numFmtId="164" fontId="8" fillId="16" borderId="0" xfId="41" applyNumberFormat="1" applyFont="1" applyFill="1" applyBorder="1" applyAlignment="1" applyProtection="1">
      <alignment horizontal="right" vertical="center"/>
    </xf>
    <xf numFmtId="10" fontId="36" fillId="0" borderId="0" xfId="41" applyNumberFormat="1" applyFont="1" applyBorder="1" applyAlignment="1" applyProtection="1">
      <alignment horizontal="right" wrapText="1"/>
    </xf>
    <xf numFmtId="1" fontId="5" fillId="0" borderId="30" xfId="41" applyNumberFormat="1" applyFont="1" applyFill="1" applyBorder="1" applyAlignment="1" applyProtection="1">
      <alignment horizontal="left"/>
    </xf>
    <xf numFmtId="1" fontId="5" fillId="0" borderId="17" xfId="41" applyNumberFormat="1" applyFont="1" applyFill="1" applyBorder="1" applyAlignment="1" applyProtection="1">
      <alignment horizontal="left"/>
    </xf>
  </cellXfs>
  <cellStyles count="50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Honorar" xfId="19" xr:uid="{00000000-0005-0000-0000-000012000000}"/>
    <cellStyle name="Honorar ohne ATS 3" xfId="20" xr:uid="{00000000-0005-0000-0000-000013000000}"/>
    <cellStyle name="Komma" xfId="21" builtinId="3"/>
    <cellStyle name="Komma 2" xfId="22" xr:uid="{00000000-0005-0000-0000-000015000000}"/>
    <cellStyle name="Komma 2 2" xfId="23" xr:uid="{00000000-0005-0000-0000-000016000000}"/>
    <cellStyle name="Kosten" xfId="24" xr:uid="{00000000-0005-0000-0000-000017000000}"/>
    <cellStyle name="Kosten ohne ATS" xfId="25" xr:uid="{00000000-0005-0000-0000-000018000000}"/>
    <cellStyle name="Neutral" xfId="26" builtinId="28" customBuiltin="1"/>
    <cellStyle name="Notiz" xfId="27" builtinId="10" customBuiltin="1"/>
    <cellStyle name="Prozent" xfId="28" builtinId="5"/>
    <cellStyle name="Prozent 2" xfId="29" xr:uid="{00000000-0005-0000-0000-00001C000000}"/>
    <cellStyle name="Prozent 2 2" xfId="30" xr:uid="{00000000-0005-0000-0000-00001D000000}"/>
    <cellStyle name="Prozent 3" xfId="31" xr:uid="{00000000-0005-0000-0000-00001E000000}"/>
    <cellStyle name="Schlecht" xfId="32" builtinId="27" customBuiltin="1"/>
    <cellStyle name="Standard" xfId="0" builtinId="0"/>
    <cellStyle name="Standard 2" xfId="33" xr:uid="{00000000-0005-0000-0000-000021000000}"/>
    <cellStyle name="Standard 2 2" xfId="34" xr:uid="{00000000-0005-0000-0000-000022000000}"/>
    <cellStyle name="Standard 3" xfId="35" xr:uid="{00000000-0005-0000-0000-000023000000}"/>
    <cellStyle name="Standard 3 2" xfId="36" xr:uid="{00000000-0005-0000-0000-000024000000}"/>
    <cellStyle name="Standard 3 3" xfId="37" xr:uid="{00000000-0005-0000-0000-000025000000}"/>
    <cellStyle name="Standard 4" xfId="38" xr:uid="{00000000-0005-0000-0000-000026000000}"/>
    <cellStyle name="Standard 5" xfId="39" xr:uid="{00000000-0005-0000-0000-000027000000}"/>
    <cellStyle name="Standard 5 2" xfId="40" xr:uid="{00000000-0005-0000-0000-000028000000}"/>
    <cellStyle name="Standard_K.Schätzung 2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tabColor theme="0"/>
  </sheetPr>
  <dimension ref="A1:P57"/>
  <sheetViews>
    <sheetView showGridLines="0" tabSelected="1" view="pageLayout" zoomScale="85" zoomScaleNormal="130" zoomScaleSheetLayoutView="85" zoomScalePageLayoutView="85" workbookViewId="0">
      <selection activeCell="M75" sqref="M75"/>
    </sheetView>
  </sheetViews>
  <sheetFormatPr baseColWidth="10" defaultColWidth="11.5703125" defaultRowHeight="15" x14ac:dyDescent="0.25"/>
  <cols>
    <col min="1" max="1" width="2.140625" style="1" customWidth="1"/>
    <col min="2" max="2" width="10" style="7" customWidth="1"/>
    <col min="3" max="3" width="1.28515625" style="7" customWidth="1"/>
    <col min="4" max="4" width="42.7109375" style="8" customWidth="1"/>
    <col min="5" max="5" width="8.42578125" style="8" customWidth="1"/>
    <col min="6" max="6" width="2.140625" style="8" customWidth="1"/>
    <col min="7" max="7" width="8.42578125" style="264" customWidth="1"/>
    <col min="8" max="8" width="1.28515625" style="41" customWidth="1"/>
    <col min="9" max="9" width="15.28515625" style="10" customWidth="1"/>
    <col min="10" max="10" width="1.28515625" style="41" customWidth="1"/>
    <col min="11" max="11" width="15.28515625" style="10" customWidth="1"/>
    <col min="12" max="12" width="1.28515625" style="41" customWidth="1"/>
    <col min="13" max="13" width="15.28515625" style="10" customWidth="1"/>
    <col min="14" max="14" width="1" customWidth="1"/>
    <col min="15" max="15" width="23.5703125" style="1" customWidth="1"/>
    <col min="16" max="16" width="12" style="1" bestFit="1" customWidth="1"/>
    <col min="17" max="16384" width="11.5703125" style="1"/>
  </cols>
  <sheetData>
    <row r="1" spans="1:14" ht="5.0999999999999996" customHeight="1" x14ac:dyDescent="0.2">
      <c r="I1" s="9"/>
      <c r="K1" s="9"/>
      <c r="M1" s="9"/>
      <c r="N1" s="58"/>
    </row>
    <row r="2" spans="1:14" s="137" customFormat="1" ht="30" customHeight="1" x14ac:dyDescent="0.25">
      <c r="A2" s="261" t="s">
        <v>84</v>
      </c>
      <c r="B2" s="262"/>
      <c r="C2" s="261"/>
      <c r="D2" s="466" t="s">
        <v>204</v>
      </c>
      <c r="E2" s="466"/>
      <c r="F2" s="466"/>
      <c r="G2" s="466"/>
      <c r="H2" s="466"/>
      <c r="I2" s="466"/>
      <c r="J2" s="466"/>
      <c r="K2" s="466"/>
      <c r="L2" s="466"/>
      <c r="M2" s="466"/>
      <c r="N2" s="466"/>
    </row>
    <row r="3" spans="1:14" s="53" customFormat="1" ht="6" customHeight="1" x14ac:dyDescent="0.25">
      <c r="A3" s="250"/>
      <c r="B3" s="13"/>
      <c r="C3" s="102"/>
      <c r="E3" s="54"/>
      <c r="F3" s="54"/>
      <c r="G3" s="265"/>
      <c r="H3" s="149"/>
      <c r="J3" s="149"/>
      <c r="L3" s="149"/>
      <c r="N3" s="61"/>
    </row>
    <row r="4" spans="1:14" s="11" customFormat="1" ht="32.25" customHeight="1" x14ac:dyDescent="0.25">
      <c r="A4" s="104"/>
      <c r="B4" s="257" t="s">
        <v>95</v>
      </c>
      <c r="C4" s="256"/>
      <c r="D4" s="256" t="s">
        <v>90</v>
      </c>
      <c r="E4" s="257" t="s">
        <v>94</v>
      </c>
      <c r="F4" s="269"/>
      <c r="G4" s="257" t="s">
        <v>62</v>
      </c>
      <c r="H4" s="269"/>
      <c r="I4" s="498" t="s">
        <v>200</v>
      </c>
      <c r="J4" s="498"/>
      <c r="K4" s="498" t="s">
        <v>205</v>
      </c>
      <c r="L4" s="498"/>
      <c r="M4" s="498" t="s">
        <v>172</v>
      </c>
      <c r="N4" s="461"/>
    </row>
    <row r="5" spans="1:14" s="11" customFormat="1" ht="6" customHeight="1" x14ac:dyDescent="0.25">
      <c r="G5" s="266"/>
      <c r="I5" s="97"/>
      <c r="K5" s="97"/>
      <c r="M5" s="97"/>
      <c r="N5" s="2"/>
    </row>
    <row r="6" spans="1:14" s="12" customFormat="1" ht="12.95" customHeight="1" x14ac:dyDescent="0.2">
      <c r="B6" s="258">
        <v>0</v>
      </c>
      <c r="D6" s="259" t="s">
        <v>91</v>
      </c>
      <c r="E6" s="484">
        <f>M6/$M$28</f>
        <v>0</v>
      </c>
      <c r="F6" s="107"/>
      <c r="G6" s="485">
        <f>M6/$M$30</f>
        <v>0</v>
      </c>
      <c r="H6" s="107"/>
      <c r="I6" s="174">
        <v>0</v>
      </c>
      <c r="J6" s="107"/>
      <c r="K6" s="174">
        <v>0</v>
      </c>
      <c r="L6" s="107"/>
      <c r="M6" s="177">
        <f>I6+K6</f>
        <v>0</v>
      </c>
      <c r="N6" s="49"/>
    </row>
    <row r="7" spans="1:14" ht="6.95" customHeight="1" x14ac:dyDescent="0.2">
      <c r="B7" s="17"/>
      <c r="C7" s="1"/>
      <c r="D7" s="1"/>
      <c r="E7" s="56"/>
      <c r="F7" s="98"/>
      <c r="G7" s="134"/>
      <c r="H7" s="98"/>
      <c r="I7" s="175"/>
      <c r="J7" s="98"/>
      <c r="K7" s="175"/>
      <c r="L7" s="98"/>
      <c r="M7" s="175"/>
      <c r="N7" s="62"/>
    </row>
    <row r="8" spans="1:14" s="12" customFormat="1" ht="12.95" customHeight="1" x14ac:dyDescent="0.2">
      <c r="B8" s="258">
        <v>1</v>
      </c>
      <c r="D8" s="259" t="s">
        <v>0</v>
      </c>
      <c r="E8" s="484">
        <f>M8/$M$28</f>
        <v>2.711076684740511E-3</v>
      </c>
      <c r="F8" s="107"/>
      <c r="G8" s="485">
        <f>M8/$M$30</f>
        <v>2.4435811028050126E-3</v>
      </c>
      <c r="H8" s="107"/>
      <c r="I8" s="174">
        <v>70000</v>
      </c>
      <c r="J8" s="107"/>
      <c r="K8" s="174">
        <v>0</v>
      </c>
      <c r="L8" s="107"/>
      <c r="M8" s="177">
        <f>I8+K8</f>
        <v>70000</v>
      </c>
      <c r="N8" s="49"/>
    </row>
    <row r="9" spans="1:14" ht="6.95" customHeight="1" x14ac:dyDescent="0.2">
      <c r="B9" s="17"/>
      <c r="C9" s="1"/>
      <c r="D9" s="1"/>
      <c r="E9" s="56"/>
      <c r="F9" s="98"/>
      <c r="G9" s="134"/>
      <c r="H9" s="98"/>
      <c r="I9" s="175"/>
      <c r="J9" s="98"/>
      <c r="K9" s="175"/>
      <c r="L9" s="98"/>
      <c r="M9" s="175"/>
      <c r="N9" s="62"/>
    </row>
    <row r="10" spans="1:14" s="12" customFormat="1" ht="12.95" customHeight="1" x14ac:dyDescent="0.2">
      <c r="B10" s="258">
        <v>2</v>
      </c>
      <c r="D10" s="259" t="s">
        <v>1</v>
      </c>
      <c r="E10" s="484">
        <f>M10/$M$28</f>
        <v>0.34856700232378002</v>
      </c>
      <c r="F10" s="107"/>
      <c r="G10" s="485">
        <f>M10/$M$30</f>
        <v>0.31417471321778734</v>
      </c>
      <c r="H10" s="107"/>
      <c r="I10" s="176">
        <v>9000000</v>
      </c>
      <c r="J10" s="107"/>
      <c r="K10" s="174">
        <v>0</v>
      </c>
      <c r="L10" s="107"/>
      <c r="M10" s="177">
        <f>I10+K10</f>
        <v>9000000</v>
      </c>
      <c r="N10" s="49"/>
    </row>
    <row r="11" spans="1:14" ht="6.95" customHeight="1" x14ac:dyDescent="0.2">
      <c r="B11" s="260"/>
      <c r="C11" s="1"/>
      <c r="D11" s="14"/>
      <c r="E11" s="56"/>
      <c r="F11" s="98"/>
      <c r="G11" s="486"/>
      <c r="H11" s="98"/>
      <c r="I11" s="175"/>
      <c r="J11" s="98"/>
      <c r="K11" s="175"/>
      <c r="L11" s="98"/>
      <c r="M11" s="175"/>
      <c r="N11" s="49"/>
    </row>
    <row r="12" spans="1:14" s="11" customFormat="1" ht="12.95" customHeight="1" x14ac:dyDescent="0.2">
      <c r="B12" s="258">
        <v>3</v>
      </c>
      <c r="C12" s="150"/>
      <c r="D12" s="259" t="s">
        <v>7</v>
      </c>
      <c r="E12" s="484">
        <f>M12/$M$28</f>
        <v>0.31371030209140199</v>
      </c>
      <c r="F12" s="107"/>
      <c r="G12" s="485">
        <f>M12/$M$30</f>
        <v>0.28275724189600859</v>
      </c>
      <c r="H12" s="107"/>
      <c r="I12" s="177">
        <f>I41</f>
        <v>8100000</v>
      </c>
      <c r="J12" s="107"/>
      <c r="K12" s="177">
        <f>K41</f>
        <v>0</v>
      </c>
      <c r="L12" s="107"/>
      <c r="M12" s="177">
        <f>I12+K12</f>
        <v>8100000</v>
      </c>
      <c r="N12" s="49"/>
    </row>
    <row r="13" spans="1:14" ht="6.95" customHeight="1" x14ac:dyDescent="0.2">
      <c r="B13" s="260"/>
      <c r="C13" s="1"/>
      <c r="D13" s="14"/>
      <c r="E13" s="56"/>
      <c r="F13" s="98"/>
      <c r="G13" s="486"/>
      <c r="H13" s="98"/>
      <c r="I13" s="175"/>
      <c r="J13" s="98"/>
      <c r="K13" s="175"/>
      <c r="L13" s="98"/>
      <c r="M13" s="175"/>
      <c r="N13" s="182"/>
    </row>
    <row r="14" spans="1:14" s="11" customFormat="1" ht="12.75" customHeight="1" x14ac:dyDescent="0.2">
      <c r="B14" s="258">
        <v>4</v>
      </c>
      <c r="C14" s="150"/>
      <c r="D14" s="259" t="s">
        <v>2</v>
      </c>
      <c r="E14" s="484">
        <f>M14/$M$28</f>
        <v>0.25174283501161893</v>
      </c>
      <c r="F14" s="107"/>
      <c r="G14" s="485">
        <f>M14/$M$30</f>
        <v>0.22690395954617973</v>
      </c>
      <c r="H14" s="107"/>
      <c r="I14" s="176">
        <v>6500000</v>
      </c>
      <c r="J14" s="107"/>
      <c r="K14" s="174">
        <v>0</v>
      </c>
      <c r="L14" s="107"/>
      <c r="M14" s="177">
        <f>I14+K14</f>
        <v>6500000</v>
      </c>
      <c r="N14" s="49"/>
    </row>
    <row r="15" spans="1:14" ht="6.95" customHeight="1" x14ac:dyDescent="0.2">
      <c r="B15" s="17"/>
      <c r="C15" s="1"/>
      <c r="D15" s="1"/>
      <c r="E15" s="56"/>
      <c r="F15" s="98"/>
      <c r="G15" s="134"/>
      <c r="H15" s="98"/>
      <c r="I15" s="175"/>
      <c r="J15" s="98"/>
      <c r="K15" s="175"/>
      <c r="L15" s="98"/>
      <c r="M15" s="175"/>
      <c r="N15" s="47"/>
    </row>
    <row r="16" spans="1:14" s="12" customFormat="1" ht="12.95" customHeight="1" x14ac:dyDescent="0.2">
      <c r="B16" s="258">
        <v>5</v>
      </c>
      <c r="D16" s="259" t="s">
        <v>9</v>
      </c>
      <c r="E16" s="484">
        <f>M16/$M$28</f>
        <v>6.390395042602634E-2</v>
      </c>
      <c r="F16" s="107"/>
      <c r="G16" s="485">
        <f>M16/$M$30</f>
        <v>5.7598697423261007E-2</v>
      </c>
      <c r="H16" s="107"/>
      <c r="I16" s="177">
        <f>I52</f>
        <v>1650000</v>
      </c>
      <c r="J16" s="107"/>
      <c r="K16" s="177">
        <f>K52</f>
        <v>0</v>
      </c>
      <c r="L16" s="107"/>
      <c r="M16" s="177">
        <f>I16+K16</f>
        <v>1650000</v>
      </c>
      <c r="N16" s="49"/>
    </row>
    <row r="17" spans="2:15" ht="6.95" customHeight="1" x14ac:dyDescent="0.2">
      <c r="B17" s="260"/>
      <c r="C17" s="1"/>
      <c r="D17" s="14"/>
      <c r="E17" s="56"/>
      <c r="F17" s="98"/>
      <c r="G17" s="486"/>
      <c r="H17" s="98"/>
      <c r="I17" s="175"/>
      <c r="J17" s="98"/>
      <c r="K17" s="175"/>
      <c r="L17" s="98"/>
      <c r="M17" s="175"/>
      <c r="N17" s="49"/>
    </row>
    <row r="18" spans="2:15" s="11" customFormat="1" ht="12.95" customHeight="1" x14ac:dyDescent="0.2">
      <c r="B18" s="258">
        <v>6</v>
      </c>
      <c r="C18" s="150"/>
      <c r="D18" s="259" t="s">
        <v>3</v>
      </c>
      <c r="E18" s="484">
        <f>M18/$M$28</f>
        <v>1.9364833462432222E-2</v>
      </c>
      <c r="F18" s="107"/>
      <c r="G18" s="485">
        <f>M18/$M$30</f>
        <v>1.7454150734321518E-2</v>
      </c>
      <c r="H18" s="107"/>
      <c r="I18" s="176">
        <v>500000</v>
      </c>
      <c r="J18" s="107"/>
      <c r="K18" s="174">
        <v>0</v>
      </c>
      <c r="L18" s="107"/>
      <c r="M18" s="177">
        <f>I18+K18</f>
        <v>500000</v>
      </c>
      <c r="N18" s="49"/>
    </row>
    <row r="19" spans="2:15" ht="6.95" customHeight="1" x14ac:dyDescent="0.2">
      <c r="B19" s="17"/>
      <c r="C19" s="1"/>
      <c r="D19" s="1"/>
      <c r="E19" s="462"/>
      <c r="F19" s="100"/>
      <c r="G19" s="134"/>
      <c r="H19" s="100"/>
      <c r="I19" s="175"/>
      <c r="J19" s="100"/>
      <c r="K19" s="175"/>
      <c r="L19" s="100"/>
      <c r="M19" s="175"/>
      <c r="N19" s="49"/>
    </row>
    <row r="20" spans="2:15" s="12" customFormat="1" ht="12.95" customHeight="1" x14ac:dyDescent="0.2">
      <c r="B20" s="258">
        <v>7</v>
      </c>
      <c r="D20" s="259" t="s">
        <v>131</v>
      </c>
      <c r="E20" s="484">
        <f>M20/$M$28</f>
        <v>4.6106938419829588E-2</v>
      </c>
      <c r="F20" s="107"/>
      <c r="G20" s="485">
        <f>M20/$M$30</f>
        <v>4.1557674876936845E-2</v>
      </c>
      <c r="H20" s="107"/>
      <c r="I20" s="107"/>
      <c r="J20" s="107"/>
      <c r="K20" s="107"/>
      <c r="L20" s="107"/>
      <c r="M20" s="177">
        <v>1190481.1499999999</v>
      </c>
      <c r="N20" s="49"/>
      <c r="O20" s="500" t="s">
        <v>211</v>
      </c>
    </row>
    <row r="21" spans="2:15" ht="6.95" customHeight="1" x14ac:dyDescent="0.2">
      <c r="B21" s="260"/>
      <c r="C21" s="1"/>
      <c r="D21" s="14"/>
      <c r="E21" s="462"/>
      <c r="F21" s="100"/>
      <c r="G21" s="486"/>
      <c r="H21" s="100"/>
      <c r="I21" s="175"/>
      <c r="J21" s="100"/>
      <c r="K21" s="175"/>
      <c r="L21" s="100"/>
      <c r="M21" s="175"/>
      <c r="N21" s="49"/>
      <c r="O21" s="501"/>
    </row>
    <row r="22" spans="2:15" s="12" customFormat="1" ht="12.95" customHeight="1" x14ac:dyDescent="0.2">
      <c r="B22" s="258">
        <v>8</v>
      </c>
      <c r="D22" s="259" t="s">
        <v>92</v>
      </c>
      <c r="E22" s="484">
        <f>M22/$M$28</f>
        <v>1.3942680092951202E-3</v>
      </c>
      <c r="F22" s="107"/>
      <c r="G22" s="485">
        <f>M22/$M$30</f>
        <v>1.2566988528711492E-3</v>
      </c>
      <c r="H22" s="107"/>
      <c r="I22" s="176">
        <v>36000</v>
      </c>
      <c r="J22" s="107"/>
      <c r="K22" s="174">
        <v>0</v>
      </c>
      <c r="L22" s="107"/>
      <c r="M22" s="177">
        <f>I22+K22</f>
        <v>36000</v>
      </c>
      <c r="N22" s="49"/>
    </row>
    <row r="23" spans="2:15" ht="6.95" customHeight="1" x14ac:dyDescent="0.2">
      <c r="B23" s="260"/>
      <c r="C23" s="1"/>
      <c r="D23" s="14"/>
      <c r="E23" s="462"/>
      <c r="F23" s="100"/>
      <c r="G23" s="486"/>
      <c r="H23" s="100"/>
      <c r="I23" s="175"/>
      <c r="J23" s="100"/>
      <c r="K23" s="175"/>
      <c r="L23" s="100"/>
      <c r="M23" s="175"/>
      <c r="N23" s="182"/>
    </row>
    <row r="24" spans="2:15" s="12" customFormat="1" ht="12.95" customHeight="1" x14ac:dyDescent="0.2">
      <c r="B24" s="258">
        <v>9</v>
      </c>
      <c r="D24" s="259" t="s">
        <v>10</v>
      </c>
      <c r="E24" s="484">
        <f>M24/$M$28</f>
        <v>6.1967467079783116E-2</v>
      </c>
      <c r="F24" s="107"/>
      <c r="G24" s="485">
        <f>M24/$M$30</f>
        <v>5.5853282349828857E-2</v>
      </c>
      <c r="H24" s="107"/>
      <c r="I24" s="176">
        <v>1600000</v>
      </c>
      <c r="J24" s="107"/>
      <c r="K24" s="174">
        <v>0</v>
      </c>
      <c r="L24" s="107"/>
      <c r="M24" s="177">
        <f>I24+K24</f>
        <v>1600000</v>
      </c>
      <c r="N24" s="49"/>
    </row>
    <row r="25" spans="2:15" ht="12" customHeight="1" x14ac:dyDescent="0.2">
      <c r="B25" s="17"/>
      <c r="C25" s="5"/>
      <c r="D25" s="1"/>
      <c r="E25" s="56"/>
      <c r="F25" s="56"/>
      <c r="G25" s="56"/>
      <c r="H25" s="46"/>
      <c r="I25" s="47"/>
      <c r="J25" s="46"/>
      <c r="K25" s="47"/>
      <c r="L25" s="46"/>
      <c r="M25" s="47"/>
      <c r="N25" s="1"/>
    </row>
    <row r="26" spans="2:15" ht="15" customHeight="1" x14ac:dyDescent="0.25">
      <c r="B26" s="96" t="s">
        <v>83</v>
      </c>
      <c r="C26" s="90"/>
      <c r="D26" s="90"/>
      <c r="E26" s="487">
        <f>M26/$M$28</f>
        <v>0.91402013942680094</v>
      </c>
      <c r="F26" s="488"/>
      <c r="G26" s="487">
        <f>M26/$M$30</f>
        <v>0.82383591465997563</v>
      </c>
      <c r="H26" s="101"/>
      <c r="I26" s="335">
        <f>I10+I12+I14</f>
        <v>23600000</v>
      </c>
      <c r="J26" s="101"/>
      <c r="K26" s="335">
        <f>K10+K12+K14</f>
        <v>0</v>
      </c>
      <c r="L26" s="101"/>
      <c r="M26" s="115">
        <f>M10+M12+M14</f>
        <v>23600000</v>
      </c>
    </row>
    <row r="27" spans="2:15" ht="5.0999999999999996" customHeight="1" x14ac:dyDescent="0.25">
      <c r="E27" s="489"/>
      <c r="F27" s="489"/>
      <c r="G27" s="490"/>
      <c r="N27" s="181"/>
    </row>
    <row r="28" spans="2:15" ht="15" customHeight="1" x14ac:dyDescent="0.25">
      <c r="B28" s="96" t="s">
        <v>82</v>
      </c>
      <c r="C28" s="90"/>
      <c r="D28" s="90"/>
      <c r="E28" s="488">
        <f>M28/$M$28</f>
        <v>1</v>
      </c>
      <c r="F28" s="488"/>
      <c r="G28" s="487">
        <f>M28/$M$30</f>
        <v>0.90133234392036321</v>
      </c>
      <c r="H28" s="101"/>
      <c r="I28" s="335">
        <f>I8+I10+I12+I14+I16+I18</f>
        <v>25820000</v>
      </c>
      <c r="J28" s="101"/>
      <c r="K28" s="335">
        <f>K8+K10+K12+K14+K16+K18</f>
        <v>0</v>
      </c>
      <c r="L28" s="101"/>
      <c r="M28" s="115">
        <f>M8+M10+M12+M14+M16+M18</f>
        <v>25820000</v>
      </c>
    </row>
    <row r="29" spans="2:15" ht="5.0999999999999996" customHeight="1" x14ac:dyDescent="0.25">
      <c r="E29" s="489"/>
      <c r="F29" s="489"/>
      <c r="G29" s="490"/>
      <c r="N29" s="181"/>
    </row>
    <row r="30" spans="2:15" ht="15" customHeight="1" x14ac:dyDescent="0.25">
      <c r="B30" s="96" t="s">
        <v>81</v>
      </c>
      <c r="C30" s="90"/>
      <c r="D30" s="90"/>
      <c r="E30" s="487"/>
      <c r="F30" s="488"/>
      <c r="G30" s="488">
        <f>M30/$M$30</f>
        <v>1</v>
      </c>
      <c r="H30" s="101"/>
      <c r="I30" s="335">
        <f>SUM(I8+I10+I12+I14+I16+I18+I20+I22+I24)</f>
        <v>27456000</v>
      </c>
      <c r="J30" s="101"/>
      <c r="K30" s="335">
        <f>SUM(K8+K10+K12+K14+K16+K18+K20+K22+K24)</f>
        <v>0</v>
      </c>
      <c r="L30" s="101"/>
      <c r="M30" s="115">
        <f>SUM(M8+M10+M12+M14+M16+M18+M20+M22+M24)</f>
        <v>28646481.149999999</v>
      </c>
      <c r="N30" s="29"/>
    </row>
    <row r="31" spans="2:15" ht="12.75" customHeight="1" x14ac:dyDescent="0.25">
      <c r="N31" s="181"/>
    </row>
    <row r="32" spans="2:15" s="11" customFormat="1" ht="12.95" customHeight="1" x14ac:dyDescent="0.25">
      <c r="G32" s="267"/>
      <c r="H32" s="158"/>
      <c r="I32" s="159"/>
      <c r="J32" s="158"/>
      <c r="K32" s="159"/>
      <c r="L32" s="158"/>
      <c r="M32" s="159"/>
      <c r="N32" s="44"/>
    </row>
    <row r="33" spans="1:16" s="11" customFormat="1" ht="6" customHeight="1" x14ac:dyDescent="0.25">
      <c r="G33" s="266"/>
      <c r="I33" s="97"/>
      <c r="K33" s="97"/>
      <c r="M33" s="97"/>
      <c r="N33" s="2"/>
    </row>
    <row r="34" spans="1:16" s="11" customFormat="1" ht="12.95" customHeight="1" x14ac:dyDescent="0.2">
      <c r="B34" s="476" t="s">
        <v>156</v>
      </c>
      <c r="C34" s="477"/>
      <c r="D34" s="478" t="s">
        <v>86</v>
      </c>
      <c r="E34" s="478"/>
      <c r="F34" s="478"/>
      <c r="G34" s="479"/>
      <c r="H34" s="478"/>
      <c r="I34" s="177"/>
      <c r="J34" s="478"/>
      <c r="K34" s="177"/>
      <c r="L34" s="478"/>
      <c r="M34" s="177"/>
      <c r="N34" s="49"/>
    </row>
    <row r="35" spans="1:16" ht="12.75" customHeight="1" x14ac:dyDescent="0.2">
      <c r="B35" s="4"/>
      <c r="C35" s="5"/>
      <c r="D35" s="245" t="s">
        <v>87</v>
      </c>
      <c r="E35" s="245"/>
      <c r="F35" s="245"/>
      <c r="G35" s="245"/>
      <c r="H35" s="245"/>
      <c r="I35" s="467"/>
      <c r="J35" s="245"/>
      <c r="K35" s="496">
        <v>2000</v>
      </c>
      <c r="L35" s="245"/>
      <c r="N35" s="49"/>
    </row>
    <row r="36" spans="1:16" ht="12.75" customHeight="1" x14ac:dyDescent="0.2">
      <c r="B36" s="253"/>
      <c r="C36" s="254"/>
      <c r="D36" s="255" t="s">
        <v>88</v>
      </c>
      <c r="E36" s="255"/>
      <c r="F36" s="255"/>
      <c r="G36" s="255"/>
      <c r="H36" s="255"/>
      <c r="I36" s="468"/>
      <c r="J36" s="255"/>
      <c r="K36" s="497">
        <v>55</v>
      </c>
      <c r="L36" s="245"/>
      <c r="N36" s="49"/>
    </row>
    <row r="37" spans="1:16" ht="12.75" customHeight="1" x14ac:dyDescent="0.2">
      <c r="B37" s="4"/>
      <c r="C37" s="5"/>
      <c r="D37" s="245" t="s">
        <v>89</v>
      </c>
      <c r="E37" s="245"/>
      <c r="F37" s="245"/>
      <c r="G37" s="245"/>
      <c r="H37" s="245"/>
      <c r="I37" s="252"/>
      <c r="J37" s="245"/>
      <c r="K37" s="177">
        <f>K35*K36</f>
        <v>110000</v>
      </c>
      <c r="L37" s="245"/>
      <c r="N37" s="49"/>
    </row>
    <row r="38" spans="1:16" ht="12.75" customHeight="1" x14ac:dyDescent="0.2">
      <c r="B38" s="4"/>
      <c r="C38" s="5"/>
      <c r="D38" s="245"/>
      <c r="E38" s="245"/>
      <c r="F38" s="245"/>
      <c r="G38" s="245"/>
      <c r="H38" s="245"/>
      <c r="I38" s="252"/>
      <c r="J38" s="245"/>
      <c r="K38" s="252"/>
      <c r="L38" s="245"/>
      <c r="M38" s="252"/>
      <c r="N38" s="49"/>
    </row>
    <row r="39" spans="1:16" s="11" customFormat="1" ht="32.25" customHeight="1" x14ac:dyDescent="0.25">
      <c r="A39" s="104"/>
      <c r="B39" s="257" t="s">
        <v>85</v>
      </c>
      <c r="C39" s="256"/>
      <c r="D39" s="383" t="s">
        <v>196</v>
      </c>
      <c r="E39" s="257" t="s">
        <v>94</v>
      </c>
      <c r="F39" s="269"/>
      <c r="G39" s="257" t="s">
        <v>62</v>
      </c>
      <c r="H39" s="269"/>
      <c r="I39" s="499" t="s">
        <v>200</v>
      </c>
      <c r="J39" s="499"/>
      <c r="K39" s="499" t="s">
        <v>205</v>
      </c>
      <c r="L39" s="499"/>
      <c r="M39" s="499" t="s">
        <v>172</v>
      </c>
      <c r="N39" s="461"/>
    </row>
    <row r="40" spans="1:16" s="11" customFormat="1" ht="6" customHeight="1" x14ac:dyDescent="0.25">
      <c r="G40" s="266"/>
      <c r="I40" s="97"/>
      <c r="K40" s="97"/>
      <c r="M40" s="97"/>
      <c r="N40" s="2"/>
    </row>
    <row r="41" spans="1:16" s="384" customFormat="1" ht="12.95" customHeight="1" x14ac:dyDescent="0.25">
      <c r="B41" s="471">
        <v>3</v>
      </c>
      <c r="C41" s="472"/>
      <c r="D41" s="473" t="s">
        <v>7</v>
      </c>
      <c r="E41" s="474"/>
      <c r="F41" s="474"/>
      <c r="G41" s="475"/>
      <c r="H41" s="473"/>
      <c r="I41" s="451">
        <f>SUM(I42:I50)</f>
        <v>8100000</v>
      </c>
      <c r="J41" s="473"/>
      <c r="K41" s="451">
        <f>SUM(K42:K50)</f>
        <v>0</v>
      </c>
      <c r="L41" s="473"/>
      <c r="M41" s="451">
        <f>SUM(M42:M50)</f>
        <v>8100000</v>
      </c>
      <c r="N41" s="49"/>
    </row>
    <row r="42" spans="1:16" ht="12.95" customHeight="1" x14ac:dyDescent="0.2">
      <c r="B42" s="390" t="s">
        <v>96</v>
      </c>
      <c r="C42" s="254"/>
      <c r="D42" s="255" t="s">
        <v>17</v>
      </c>
      <c r="E42" s="268">
        <f t="shared" ref="E42:E50" si="0">M42/$M$28</f>
        <v>3.4856700232378003E-2</v>
      </c>
      <c r="F42" s="107"/>
      <c r="G42" s="452">
        <f t="shared" ref="G42:G50" si="1">M42/$M$30</f>
        <v>3.1417471321778731E-2</v>
      </c>
      <c r="H42" s="255"/>
      <c r="I42" s="469">
        <v>900000</v>
      </c>
      <c r="J42" s="255"/>
      <c r="K42" s="469">
        <v>0</v>
      </c>
      <c r="L42" s="255"/>
      <c r="M42" s="251">
        <f t="shared" ref="M42:M55" si="2">I42+K42</f>
        <v>900000</v>
      </c>
      <c r="N42" s="49"/>
    </row>
    <row r="43" spans="1:16" ht="12.95" customHeight="1" x14ac:dyDescent="0.2">
      <c r="B43" s="270" t="s">
        <v>97</v>
      </c>
      <c r="C43" s="110"/>
      <c r="D43" s="111" t="s">
        <v>25</v>
      </c>
      <c r="E43" s="268">
        <f t="shared" si="0"/>
        <v>3.8729666924864445E-2</v>
      </c>
      <c r="F43" s="111"/>
      <c r="G43" s="452">
        <f t="shared" si="1"/>
        <v>3.4908301468643037E-2</v>
      </c>
      <c r="H43" s="111"/>
      <c r="I43" s="178">
        <v>1000000</v>
      </c>
      <c r="J43" s="111"/>
      <c r="K43" s="178">
        <v>0</v>
      </c>
      <c r="L43" s="111"/>
      <c r="M43" s="177">
        <f t="shared" si="2"/>
        <v>1000000</v>
      </c>
      <c r="N43" s="49"/>
    </row>
    <row r="44" spans="1:16" ht="12.95" customHeight="1" x14ac:dyDescent="0.2">
      <c r="B44" s="270" t="s">
        <v>98</v>
      </c>
      <c r="C44" s="110"/>
      <c r="D44" s="111" t="s">
        <v>26</v>
      </c>
      <c r="E44" s="268">
        <f t="shared" si="0"/>
        <v>3.8729666924864445E-2</v>
      </c>
      <c r="F44" s="111"/>
      <c r="G44" s="452">
        <f t="shared" si="1"/>
        <v>3.4908301468643037E-2</v>
      </c>
      <c r="H44" s="111"/>
      <c r="I44" s="178">
        <v>1000000</v>
      </c>
      <c r="J44" s="111"/>
      <c r="K44" s="178">
        <v>0</v>
      </c>
      <c r="L44" s="111"/>
      <c r="M44" s="177">
        <f t="shared" si="2"/>
        <v>1000000</v>
      </c>
      <c r="N44" s="49"/>
    </row>
    <row r="45" spans="1:16" ht="12.95" customHeight="1" x14ac:dyDescent="0.2">
      <c r="B45" s="270" t="s">
        <v>99</v>
      </c>
      <c r="C45" s="110"/>
      <c r="D45" s="111" t="s">
        <v>27</v>
      </c>
      <c r="E45" s="268">
        <f t="shared" si="0"/>
        <v>5.8094500387296667E-2</v>
      </c>
      <c r="F45" s="111"/>
      <c r="G45" s="452">
        <f t="shared" si="1"/>
        <v>5.2362452202964552E-2</v>
      </c>
      <c r="H45" s="111"/>
      <c r="I45" s="178">
        <v>1500000</v>
      </c>
      <c r="J45" s="111"/>
      <c r="K45" s="178">
        <v>0</v>
      </c>
      <c r="L45" s="111"/>
      <c r="M45" s="177">
        <f t="shared" si="2"/>
        <v>1500000</v>
      </c>
      <c r="N45" s="49"/>
      <c r="P45" s="470"/>
    </row>
    <row r="46" spans="1:16" ht="12.95" customHeight="1" x14ac:dyDescent="0.2">
      <c r="B46" s="270" t="s">
        <v>100</v>
      </c>
      <c r="C46" s="110"/>
      <c r="D46" s="111" t="s">
        <v>30</v>
      </c>
      <c r="E46" s="268">
        <f t="shared" si="0"/>
        <v>2.3237800154918668E-2</v>
      </c>
      <c r="F46" s="111"/>
      <c r="G46" s="452">
        <f t="shared" si="1"/>
        <v>2.0944980881185821E-2</v>
      </c>
      <c r="H46" s="111"/>
      <c r="I46" s="178">
        <v>600000</v>
      </c>
      <c r="J46" s="111"/>
      <c r="K46" s="178">
        <v>0</v>
      </c>
      <c r="L46" s="111"/>
      <c r="M46" s="177">
        <f t="shared" si="2"/>
        <v>600000</v>
      </c>
      <c r="N46" s="49"/>
    </row>
    <row r="47" spans="1:16" ht="12.95" customHeight="1" x14ac:dyDescent="0.2">
      <c r="B47" s="270" t="s">
        <v>101</v>
      </c>
      <c r="C47" s="110"/>
      <c r="D47" s="111" t="s">
        <v>28</v>
      </c>
      <c r="E47" s="268">
        <f t="shared" si="0"/>
        <v>5.8094500387296667E-2</v>
      </c>
      <c r="F47" s="111"/>
      <c r="G47" s="452">
        <f t="shared" si="1"/>
        <v>5.2362452202964552E-2</v>
      </c>
      <c r="H47" s="111"/>
      <c r="I47" s="178">
        <v>1500000</v>
      </c>
      <c r="J47" s="111"/>
      <c r="K47" s="178">
        <v>0</v>
      </c>
      <c r="L47" s="111"/>
      <c r="M47" s="177">
        <f t="shared" si="2"/>
        <v>1500000</v>
      </c>
      <c r="N47" s="49"/>
    </row>
    <row r="48" spans="1:16" ht="12.95" customHeight="1" x14ac:dyDescent="0.2">
      <c r="B48" s="270" t="s">
        <v>102</v>
      </c>
      <c r="C48" s="110"/>
      <c r="D48" s="111" t="s">
        <v>29</v>
      </c>
      <c r="E48" s="268">
        <f t="shared" si="0"/>
        <v>1.1618900077459334E-2</v>
      </c>
      <c r="F48" s="111"/>
      <c r="G48" s="452">
        <f t="shared" si="1"/>
        <v>1.047249044059291E-2</v>
      </c>
      <c r="H48" s="111"/>
      <c r="I48" s="178">
        <v>300000</v>
      </c>
      <c r="J48" s="111"/>
      <c r="K48" s="178">
        <v>0</v>
      </c>
      <c r="L48" s="111"/>
      <c r="M48" s="177">
        <f t="shared" si="2"/>
        <v>300000</v>
      </c>
      <c r="N48" s="49"/>
    </row>
    <row r="49" spans="2:14" ht="12.95" customHeight="1" x14ac:dyDescent="0.2">
      <c r="B49" s="270" t="s">
        <v>193</v>
      </c>
      <c r="C49" s="110"/>
      <c r="D49" s="111" t="s">
        <v>194</v>
      </c>
      <c r="E49" s="268">
        <f t="shared" si="0"/>
        <v>3.8729666924864445E-2</v>
      </c>
      <c r="F49" s="111"/>
      <c r="G49" s="452">
        <f t="shared" si="1"/>
        <v>3.4908301468643037E-2</v>
      </c>
      <c r="H49" s="111"/>
      <c r="I49" s="178">
        <v>1000000</v>
      </c>
      <c r="J49" s="111"/>
      <c r="K49" s="178">
        <v>0</v>
      </c>
      <c r="L49" s="111"/>
      <c r="M49" s="177">
        <f t="shared" si="2"/>
        <v>1000000</v>
      </c>
      <c r="N49" s="49"/>
    </row>
    <row r="50" spans="2:14" ht="12.95" customHeight="1" x14ac:dyDescent="0.2">
      <c r="B50" s="270" t="s">
        <v>103</v>
      </c>
      <c r="C50" s="110"/>
      <c r="D50" s="111" t="s">
        <v>8</v>
      </c>
      <c r="E50" s="268">
        <f t="shared" si="0"/>
        <v>1.1618900077459334E-2</v>
      </c>
      <c r="F50" s="111"/>
      <c r="G50" s="452">
        <f t="shared" si="1"/>
        <v>1.047249044059291E-2</v>
      </c>
      <c r="H50" s="111"/>
      <c r="I50" s="178">
        <v>300000</v>
      </c>
      <c r="J50" s="111"/>
      <c r="K50" s="178">
        <v>0</v>
      </c>
      <c r="L50" s="111"/>
      <c r="M50" s="177">
        <f t="shared" si="2"/>
        <v>300000</v>
      </c>
      <c r="N50" s="49"/>
    </row>
    <row r="51" spans="2:14" ht="6.95" customHeight="1" x14ac:dyDescent="0.2">
      <c r="B51" s="263"/>
      <c r="C51" s="13"/>
      <c r="D51" s="14"/>
      <c r="E51" s="14"/>
      <c r="F51" s="14"/>
      <c r="G51" s="14"/>
      <c r="H51" s="14"/>
      <c r="I51" s="98"/>
      <c r="J51" s="14"/>
      <c r="K51" s="98"/>
      <c r="L51" s="14"/>
      <c r="M51" s="98"/>
      <c r="N51" s="182"/>
    </row>
    <row r="52" spans="2:14" s="12" customFormat="1" ht="12.95" customHeight="1" x14ac:dyDescent="0.25">
      <c r="B52" s="481">
        <v>5</v>
      </c>
      <c r="C52" s="477"/>
      <c r="D52" s="478" t="s">
        <v>9</v>
      </c>
      <c r="E52" s="482"/>
      <c r="F52" s="482"/>
      <c r="G52" s="483"/>
      <c r="H52" s="478"/>
      <c r="I52" s="177">
        <f>SUM(I53:I56)</f>
        <v>1650000</v>
      </c>
      <c r="J52" s="478"/>
      <c r="K52" s="177">
        <f>SUM(K53:K56)</f>
        <v>0</v>
      </c>
      <c r="L52" s="478"/>
      <c r="M52" s="177">
        <f>SUM(M53:M56)</f>
        <v>1650000</v>
      </c>
      <c r="N52" s="385"/>
    </row>
    <row r="53" spans="2:14" ht="12.95" customHeight="1" x14ac:dyDescent="0.2">
      <c r="B53" s="390" t="s">
        <v>104</v>
      </c>
      <c r="C53" s="391"/>
      <c r="D53" s="392" t="s">
        <v>159</v>
      </c>
      <c r="E53" s="268">
        <f>M53/$M$28</f>
        <v>2.3237800154918668E-2</v>
      </c>
      <c r="F53" s="107"/>
      <c r="G53" s="452">
        <f>M53/$M$30</f>
        <v>2.0944980881185821E-2</v>
      </c>
      <c r="H53" s="392"/>
      <c r="I53" s="480">
        <v>600000</v>
      </c>
      <c r="J53" s="392"/>
      <c r="K53" s="480">
        <v>0</v>
      </c>
      <c r="L53" s="392"/>
      <c r="M53" s="251">
        <f>I53+K53</f>
        <v>600000</v>
      </c>
      <c r="N53" s="49"/>
    </row>
    <row r="54" spans="2:14" ht="12.95" customHeight="1" x14ac:dyDescent="0.2">
      <c r="B54" s="270" t="s">
        <v>105</v>
      </c>
      <c r="C54" s="112"/>
      <c r="D54" s="113" t="s">
        <v>160</v>
      </c>
      <c r="E54" s="268">
        <f>M54/$M$28</f>
        <v>3.8729666924864445E-2</v>
      </c>
      <c r="F54" s="113"/>
      <c r="G54" s="452">
        <f>M54/$M$30</f>
        <v>3.4908301468643037E-2</v>
      </c>
      <c r="H54" s="113"/>
      <c r="I54" s="179">
        <v>1000000</v>
      </c>
      <c r="J54" s="113"/>
      <c r="K54" s="179">
        <v>0</v>
      </c>
      <c r="L54" s="113"/>
      <c r="M54" s="177">
        <f t="shared" si="2"/>
        <v>1000000</v>
      </c>
      <c r="N54" s="49"/>
    </row>
    <row r="55" spans="2:14" ht="12.95" customHeight="1" x14ac:dyDescent="0.2">
      <c r="B55" s="270" t="s">
        <v>157</v>
      </c>
      <c r="C55" s="112"/>
      <c r="D55" s="113" t="s">
        <v>51</v>
      </c>
      <c r="E55" s="268">
        <f>M55/$M$28</f>
        <v>1.9364833462432224E-3</v>
      </c>
      <c r="F55" s="113"/>
      <c r="G55" s="452">
        <f>M55/$M$30</f>
        <v>1.7454150734321518E-3</v>
      </c>
      <c r="H55" s="113"/>
      <c r="I55" s="179">
        <v>50000</v>
      </c>
      <c r="J55" s="113"/>
      <c r="K55" s="179">
        <v>0</v>
      </c>
      <c r="L55" s="113"/>
      <c r="M55" s="177">
        <f t="shared" si="2"/>
        <v>50000</v>
      </c>
      <c r="N55" s="49"/>
    </row>
    <row r="56" spans="2:14" ht="12.95" customHeight="1" x14ac:dyDescent="0.2">
      <c r="B56" s="270" t="s">
        <v>158</v>
      </c>
      <c r="C56" s="112"/>
      <c r="D56" s="113" t="s">
        <v>93</v>
      </c>
      <c r="E56" s="268">
        <f>M56/$M$28</f>
        <v>0</v>
      </c>
      <c r="F56" s="113"/>
      <c r="G56" s="452">
        <f>M56/$M$30</f>
        <v>0</v>
      </c>
      <c r="H56" s="113"/>
      <c r="I56" s="113"/>
      <c r="J56" s="113"/>
      <c r="K56" s="179">
        <v>0</v>
      </c>
      <c r="L56" s="113"/>
      <c r="M56" s="177">
        <f>K56</f>
        <v>0</v>
      </c>
      <c r="N56" s="49"/>
    </row>
    <row r="57" spans="2:14" ht="6.95" customHeight="1" x14ac:dyDescent="0.2">
      <c r="B57" s="263"/>
      <c r="C57" s="13"/>
      <c r="D57" s="14"/>
      <c r="E57" s="14"/>
      <c r="F57" s="14"/>
      <c r="G57" s="14"/>
      <c r="H57" s="14"/>
      <c r="I57" s="98"/>
      <c r="J57" s="14"/>
      <c r="K57" s="98"/>
      <c r="L57" s="14"/>
      <c r="M57" s="98"/>
      <c r="N57" s="182"/>
    </row>
  </sheetData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&amp;L&amp;"Arial,Fett"&amp;10&amp;K969696Vergabemodelle&amp;R&amp;"Arial,Fett"&amp;10&amp;K969696Vertrag öBA - Anhang 3</oddHeader>
    <oddFooter>&amp;L&amp;"Arial,Fett"&amp;9&amp;K000000Leitfaden Vergabe technische Beratung &amp; Planung &amp;R&amp;"Arial,Standard"&amp;9&amp;K000000 Juni 2018                             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tabColor rgb="FFC00000"/>
  </sheetPr>
  <dimension ref="A1:L92"/>
  <sheetViews>
    <sheetView showGridLines="0" view="pageBreakPreview" topLeftCell="A28" zoomScaleNormal="85" zoomScaleSheetLayoutView="100" zoomScalePageLayoutView="85" workbookViewId="0">
      <selection activeCell="M60" sqref="M60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1" customWidth="1"/>
    <col min="6" max="6" width="14.7109375" style="8" customWidth="1"/>
    <col min="7" max="7" width="2.7109375" style="41" customWidth="1"/>
    <col min="8" max="8" width="11.28515625" style="9" customWidth="1" collapsed="1"/>
    <col min="9" max="9" width="14.7109375" style="10" customWidth="1"/>
    <col min="10" max="10" width="2.7109375" style="58" customWidth="1"/>
    <col min="11" max="12" width="11.5703125" style="366"/>
    <col min="13" max="16384" width="11.5703125" style="1"/>
  </cols>
  <sheetData>
    <row r="1" spans="1:12" ht="5.0999999999999996" customHeight="1" x14ac:dyDescent="0.25"/>
    <row r="2" spans="1:12" s="53" customFormat="1" ht="35.1" customHeight="1" x14ac:dyDescent="0.25">
      <c r="A2" s="439" t="s">
        <v>192</v>
      </c>
      <c r="C2" s="13"/>
      <c r="D2" s="102"/>
      <c r="F2" s="54"/>
      <c r="G2" s="54"/>
      <c r="H2" s="504" t="s">
        <v>169</v>
      </c>
      <c r="I2" s="504"/>
      <c r="J2" s="61"/>
      <c r="K2" s="55"/>
      <c r="L2" s="55"/>
    </row>
    <row r="3" spans="1:12" s="138" customFormat="1" ht="12.95" customHeight="1" x14ac:dyDescent="0.25">
      <c r="A3" s="424" t="s">
        <v>77</v>
      </c>
      <c r="B3" s="424"/>
      <c r="C3" s="424"/>
      <c r="D3" s="424"/>
      <c r="E3" s="424"/>
      <c r="F3" s="424"/>
      <c r="G3" s="424"/>
      <c r="H3" s="424"/>
      <c r="I3" s="424"/>
      <c r="J3" s="142"/>
    </row>
    <row r="4" spans="1:12" s="11" customFormat="1" ht="6" customHeight="1" x14ac:dyDescent="0.25">
      <c r="I4" s="2"/>
      <c r="J4" s="2"/>
    </row>
    <row r="5" spans="1:12" s="11" customFormat="1" ht="12.95" customHeight="1" x14ac:dyDescent="0.25">
      <c r="E5" s="99" t="s">
        <v>62</v>
      </c>
      <c r="F5" s="44" t="s">
        <v>49</v>
      </c>
      <c r="G5" s="44"/>
      <c r="H5" s="16" t="s">
        <v>15</v>
      </c>
      <c r="I5" s="114" t="s">
        <v>50</v>
      </c>
      <c r="J5" s="44"/>
    </row>
    <row r="6" spans="1:12" s="11" customFormat="1" ht="6" customHeight="1" x14ac:dyDescent="0.25">
      <c r="F6" s="97"/>
      <c r="I6" s="2"/>
      <c r="J6" s="2"/>
    </row>
    <row r="7" spans="1:12" s="12" customFormat="1" ht="12.95" customHeight="1" x14ac:dyDescent="0.2">
      <c r="A7" s="503">
        <v>1</v>
      </c>
      <c r="B7" s="503"/>
      <c r="C7" s="105"/>
      <c r="D7" s="106" t="s">
        <v>0</v>
      </c>
      <c r="E7" s="425">
        <f>F7/_1_9</f>
        <v>2.4435811028050126E-3</v>
      </c>
      <c r="F7" s="327">
        <f>_1</f>
        <v>70000</v>
      </c>
      <c r="G7" s="103"/>
      <c r="H7" s="441">
        <v>0</v>
      </c>
      <c r="I7" s="327">
        <f>F7*H7</f>
        <v>0</v>
      </c>
      <c r="J7" s="49"/>
    </row>
    <row r="8" spans="1:12" ht="2.25" customHeight="1" x14ac:dyDescent="0.25">
      <c r="B8" s="4"/>
      <c r="C8" s="6"/>
      <c r="D8" s="1"/>
      <c r="E8" s="154"/>
      <c r="F8" s="167"/>
      <c r="G8" s="1"/>
      <c r="H8" s="421"/>
      <c r="I8" s="167"/>
      <c r="J8" s="62"/>
    </row>
    <row r="9" spans="1:12" s="12" customFormat="1" ht="12.75" customHeight="1" x14ac:dyDescent="0.2">
      <c r="A9" s="503">
        <v>2</v>
      </c>
      <c r="B9" s="503"/>
      <c r="C9" s="105"/>
      <c r="D9" s="106" t="s">
        <v>1</v>
      </c>
      <c r="E9" s="425">
        <f>F9/_1_9</f>
        <v>0.31417471321778734</v>
      </c>
      <c r="F9" s="327">
        <f>_2</f>
        <v>9000000</v>
      </c>
      <c r="G9" s="103"/>
      <c r="H9" s="441">
        <v>1</v>
      </c>
      <c r="I9" s="327">
        <f>F9*H9</f>
        <v>9000000</v>
      </c>
      <c r="J9" s="49"/>
    </row>
    <row r="10" spans="1:12" ht="2.25" customHeight="1" x14ac:dyDescent="0.25">
      <c r="B10" s="13"/>
      <c r="C10" s="13"/>
      <c r="D10" s="14"/>
      <c r="E10" s="154"/>
      <c r="F10" s="168"/>
      <c r="G10" s="1"/>
      <c r="H10" s="421"/>
      <c r="I10" s="168"/>
      <c r="J10" s="49"/>
    </row>
    <row r="11" spans="1:12" s="11" customFormat="1" ht="12.95" customHeight="1" x14ac:dyDescent="0.2">
      <c r="A11" s="503">
        <v>3</v>
      </c>
      <c r="B11" s="503"/>
      <c r="C11" s="105"/>
      <c r="D11" s="106" t="s">
        <v>7</v>
      </c>
      <c r="E11" s="425">
        <f>F11/_1_9</f>
        <v>0.28275724189600859</v>
      </c>
      <c r="F11" s="327">
        <f>_3</f>
        <v>8100000</v>
      </c>
      <c r="G11" s="103"/>
      <c r="H11" s="441">
        <v>1</v>
      </c>
      <c r="I11" s="327">
        <f>F11*H11</f>
        <v>8100000</v>
      </c>
      <c r="J11" s="49"/>
    </row>
    <row r="12" spans="1:12" ht="2.25" customHeight="1" x14ac:dyDescent="0.25">
      <c r="B12" s="13"/>
      <c r="C12" s="13"/>
      <c r="D12" s="14"/>
      <c r="E12" s="154"/>
      <c r="F12" s="151"/>
      <c r="G12" s="1"/>
      <c r="H12" s="420"/>
      <c r="I12" s="151"/>
      <c r="J12" s="48"/>
    </row>
    <row r="13" spans="1:12" s="11" customFormat="1" ht="12.75" customHeight="1" x14ac:dyDescent="0.2">
      <c r="A13" s="503">
        <v>4</v>
      </c>
      <c r="B13" s="503"/>
      <c r="C13" s="105"/>
      <c r="D13" s="106" t="s">
        <v>2</v>
      </c>
      <c r="E13" s="425">
        <f>F13/_1_9</f>
        <v>0.22690395954617973</v>
      </c>
      <c r="F13" s="327">
        <f>_4</f>
        <v>6500000</v>
      </c>
      <c r="G13" s="103"/>
      <c r="H13" s="441">
        <v>1</v>
      </c>
      <c r="I13" s="327">
        <f>F13*H13</f>
        <v>6500000</v>
      </c>
      <c r="J13" s="49"/>
    </row>
    <row r="14" spans="1:12" ht="2.25" customHeight="1" x14ac:dyDescent="0.25">
      <c r="B14" s="4"/>
      <c r="C14" s="6"/>
      <c r="D14" s="1"/>
      <c r="E14" s="154"/>
      <c r="F14" s="151"/>
      <c r="G14" s="1"/>
      <c r="H14" s="422"/>
      <c r="I14" s="151"/>
      <c r="J14" s="47"/>
    </row>
    <row r="15" spans="1:12" s="12" customFormat="1" ht="12.95" customHeight="1" x14ac:dyDescent="0.2">
      <c r="A15" s="503">
        <v>5</v>
      </c>
      <c r="B15" s="503"/>
      <c r="C15" s="105"/>
      <c r="D15" s="106" t="s">
        <v>9</v>
      </c>
      <c r="E15" s="425">
        <f>F15/_1_9</f>
        <v>5.7598697423261007E-2</v>
      </c>
      <c r="F15" s="327">
        <f>_5</f>
        <v>1650000</v>
      </c>
      <c r="G15" s="103"/>
      <c r="H15" s="441">
        <v>1</v>
      </c>
      <c r="I15" s="327">
        <f>H15*F15</f>
        <v>1650000</v>
      </c>
      <c r="J15" s="49"/>
    </row>
    <row r="16" spans="1:12" ht="2.25" customHeight="1" x14ac:dyDescent="0.25">
      <c r="B16" s="13"/>
      <c r="C16" s="13"/>
      <c r="D16" s="14"/>
      <c r="E16" s="154"/>
      <c r="F16" s="168"/>
      <c r="G16" s="1"/>
      <c r="H16" s="421"/>
      <c r="I16" s="168"/>
      <c r="J16" s="49"/>
    </row>
    <row r="17" spans="1:12" s="11" customFormat="1" ht="12.75" customHeight="1" x14ac:dyDescent="0.2">
      <c r="A17" s="503">
        <v>6</v>
      </c>
      <c r="B17" s="503"/>
      <c r="C17" s="105"/>
      <c r="D17" s="106" t="s">
        <v>3</v>
      </c>
      <c r="E17" s="425">
        <f>F17/_1_9</f>
        <v>1.7454150734321518E-2</v>
      </c>
      <c r="F17" s="327">
        <f>_6</f>
        <v>500000</v>
      </c>
      <c r="G17" s="103"/>
      <c r="H17" s="441">
        <v>1</v>
      </c>
      <c r="I17" s="327">
        <f>F17*H17</f>
        <v>500000</v>
      </c>
      <c r="J17" s="49"/>
    </row>
    <row r="18" spans="1:12" ht="2.25" customHeight="1" x14ac:dyDescent="0.25">
      <c r="B18" s="17"/>
      <c r="C18" s="5"/>
      <c r="D18" s="1"/>
      <c r="E18" s="157"/>
      <c r="F18" s="151"/>
      <c r="G18" s="1"/>
      <c r="H18" s="422"/>
      <c r="I18" s="151"/>
      <c r="J18" s="49"/>
      <c r="K18" s="367"/>
      <c r="L18" s="367"/>
    </row>
    <row r="19" spans="1:12" s="12" customFormat="1" ht="12.95" customHeight="1" x14ac:dyDescent="0.2">
      <c r="A19" s="503">
        <v>7</v>
      </c>
      <c r="B19" s="503"/>
      <c r="C19" s="105"/>
      <c r="D19" s="106" t="s">
        <v>131</v>
      </c>
      <c r="E19" s="425">
        <f>F19/_1_9</f>
        <v>4.1557674876936845E-2</v>
      </c>
      <c r="F19" s="327">
        <f>_7</f>
        <v>1190481.1499999999</v>
      </c>
      <c r="G19" s="103"/>
      <c r="H19" s="441">
        <v>0</v>
      </c>
      <c r="I19" s="327">
        <f>F19*H19</f>
        <v>0</v>
      </c>
      <c r="J19" s="49"/>
    </row>
    <row r="20" spans="1:12" ht="2.25" customHeight="1" x14ac:dyDescent="0.25">
      <c r="B20" s="13"/>
      <c r="C20" s="13"/>
      <c r="D20" s="14"/>
      <c r="E20" s="157"/>
      <c r="F20" s="168"/>
      <c r="G20" s="1"/>
      <c r="H20" s="421"/>
      <c r="I20" s="168"/>
      <c r="J20" s="49"/>
      <c r="K20" s="367"/>
    </row>
    <row r="21" spans="1:12" s="12" customFormat="1" ht="12.95" customHeight="1" x14ac:dyDescent="0.2">
      <c r="A21" s="503">
        <v>8</v>
      </c>
      <c r="B21" s="503"/>
      <c r="C21" s="105"/>
      <c r="D21" s="106" t="s">
        <v>130</v>
      </c>
      <c r="E21" s="425">
        <f>F21/_1_9</f>
        <v>1.2566988528711492E-3</v>
      </c>
      <c r="F21" s="327">
        <f>_8</f>
        <v>36000</v>
      </c>
      <c r="G21" s="103"/>
      <c r="H21" s="441">
        <v>0</v>
      </c>
      <c r="I21" s="327">
        <f>F21*H21</f>
        <v>0</v>
      </c>
      <c r="J21" s="49"/>
    </row>
    <row r="22" spans="1:12" ht="2.25" customHeight="1" x14ac:dyDescent="0.25">
      <c r="B22" s="13"/>
      <c r="C22" s="13"/>
      <c r="D22" s="14"/>
      <c r="E22" s="157"/>
      <c r="F22" s="151"/>
      <c r="G22" s="1"/>
      <c r="H22" s="420"/>
      <c r="I22" s="151"/>
      <c r="J22" s="48"/>
      <c r="K22" s="367"/>
    </row>
    <row r="23" spans="1:12" s="12" customFormat="1" ht="12.95" customHeight="1" x14ac:dyDescent="0.2">
      <c r="A23" s="503">
        <v>9</v>
      </c>
      <c r="B23" s="503"/>
      <c r="C23" s="105"/>
      <c r="D23" s="106" t="s">
        <v>10</v>
      </c>
      <c r="E23" s="425">
        <f>F23/_1_9</f>
        <v>5.5853282349828857E-2</v>
      </c>
      <c r="F23" s="327">
        <f>_9</f>
        <v>1600000</v>
      </c>
      <c r="G23" s="103"/>
      <c r="H23" s="441">
        <v>0.4</v>
      </c>
      <c r="I23" s="327">
        <f>F23*H23</f>
        <v>640000</v>
      </c>
      <c r="J23" s="49"/>
    </row>
    <row r="24" spans="1:12" ht="12" customHeight="1" x14ac:dyDescent="0.25">
      <c r="B24" s="17"/>
      <c r="C24" s="5"/>
      <c r="D24" s="1"/>
      <c r="E24" s="46"/>
      <c r="F24" s="1"/>
      <c r="G24" s="1"/>
      <c r="H24" s="1"/>
      <c r="I24" s="1"/>
      <c r="J24" s="1"/>
      <c r="K24" s="367"/>
    </row>
    <row r="25" spans="1:12" s="137" customFormat="1" ht="12.95" customHeight="1" x14ac:dyDescent="0.25">
      <c r="A25" s="362" t="s">
        <v>12</v>
      </c>
      <c r="B25" s="363"/>
      <c r="C25" s="363"/>
      <c r="D25" s="363"/>
      <c r="E25" s="143">
        <f>SUM(E7:E23)</f>
        <v>1</v>
      </c>
      <c r="F25" s="141">
        <f>SUM(F7+F9+F11+F13+F15+F17+F19+F21+F23)</f>
        <v>28646481.149999999</v>
      </c>
      <c r="G25" s="144"/>
      <c r="H25" s="184"/>
      <c r="I25" s="3"/>
      <c r="J25" s="3"/>
      <c r="K25" s="145"/>
      <c r="L25" s="145"/>
    </row>
    <row r="26" spans="1:12" ht="4.5" customHeight="1" x14ac:dyDescent="0.25">
      <c r="B26" s="13"/>
      <c r="C26" s="13"/>
      <c r="D26" s="14"/>
      <c r="E26" s="46"/>
      <c r="F26" s="14"/>
      <c r="G26" s="1"/>
      <c r="H26" s="19"/>
      <c r="I26" s="15"/>
      <c r="J26" s="18"/>
      <c r="K26" s="367"/>
    </row>
    <row r="27" spans="1:12" s="138" customFormat="1" ht="12.95" customHeight="1" x14ac:dyDescent="0.25">
      <c r="A27" s="304" t="s">
        <v>31</v>
      </c>
      <c r="B27" s="363"/>
      <c r="C27" s="363"/>
      <c r="D27" s="363"/>
      <c r="E27" s="363"/>
      <c r="F27" s="363"/>
      <c r="G27" s="363"/>
      <c r="H27" s="303"/>
      <c r="I27" s="141">
        <f>SUM(I7:I23)</f>
        <v>26390000</v>
      </c>
      <c r="J27" s="142"/>
    </row>
    <row r="28" spans="1:12" ht="13.5" customHeight="1" x14ac:dyDescent="0.25">
      <c r="A28" s="186"/>
      <c r="B28" s="186"/>
      <c r="C28" s="186"/>
      <c r="D28" s="186"/>
      <c r="E28" s="187"/>
      <c r="F28" s="186"/>
      <c r="G28" s="187"/>
      <c r="I28" s="291"/>
    </row>
    <row r="29" spans="1:12" s="138" customFormat="1" ht="12.95" customHeight="1" x14ac:dyDescent="0.25">
      <c r="A29" s="424" t="s">
        <v>63</v>
      </c>
      <c r="B29" s="424"/>
      <c r="C29" s="424"/>
      <c r="D29" s="424"/>
      <c r="E29" s="424"/>
      <c r="F29" s="424"/>
      <c r="G29" s="424"/>
      <c r="H29" s="424"/>
      <c r="I29" s="424"/>
      <c r="J29" s="142"/>
    </row>
    <row r="30" spans="1:12" s="11" customFormat="1" ht="4.5" customHeight="1" x14ac:dyDescent="0.25">
      <c r="I30" s="2"/>
      <c r="J30" s="2"/>
    </row>
    <row r="31" spans="1:12" ht="12.75" customHeight="1" x14ac:dyDescent="0.25">
      <c r="A31" s="24"/>
      <c r="B31" s="24"/>
      <c r="C31" s="24"/>
      <c r="D31" s="1"/>
      <c r="E31" s="1"/>
      <c r="F31" s="190" t="s">
        <v>5</v>
      </c>
      <c r="G31" s="506" t="s">
        <v>4</v>
      </c>
      <c r="H31" s="506"/>
      <c r="I31" s="292"/>
      <c r="J31" s="57"/>
    </row>
    <row r="32" spans="1:12" ht="12.75" customHeight="1" x14ac:dyDescent="0.25">
      <c r="B32" s="25" t="s">
        <v>45</v>
      </c>
      <c r="C32" s="59"/>
      <c r="D32" s="50"/>
      <c r="E32" s="50"/>
      <c r="F32" s="442" t="e">
        <f>#REF!</f>
        <v>#REF!</v>
      </c>
      <c r="G32" s="507" t="s">
        <v>32</v>
      </c>
      <c r="H32" s="507"/>
      <c r="I32" s="292"/>
      <c r="J32" s="57"/>
    </row>
    <row r="33" spans="1:12" ht="12.75" customHeight="1" x14ac:dyDescent="0.25">
      <c r="B33" s="26" t="s">
        <v>46</v>
      </c>
      <c r="C33" s="60"/>
      <c r="D33" s="51"/>
      <c r="E33" s="51"/>
      <c r="F33" s="442" t="e">
        <f>#REF!</f>
        <v>#REF!</v>
      </c>
      <c r="G33" s="505" t="s">
        <v>6</v>
      </c>
      <c r="H33" s="505"/>
      <c r="I33" s="292"/>
      <c r="J33" s="57"/>
    </row>
    <row r="34" spans="1:12" ht="12.75" customHeight="1" x14ac:dyDescent="0.25">
      <c r="B34" s="26" t="s">
        <v>47</v>
      </c>
      <c r="C34" s="60"/>
      <c r="D34" s="51"/>
      <c r="E34" s="51"/>
      <c r="F34" s="442">
        <v>1</v>
      </c>
      <c r="G34" s="505" t="s">
        <v>6</v>
      </c>
      <c r="H34" s="505"/>
      <c r="I34" s="292"/>
      <c r="J34" s="57"/>
    </row>
    <row r="35" spans="1:12" ht="12.75" customHeight="1" x14ac:dyDescent="0.25">
      <c r="B35" s="26" t="s">
        <v>48</v>
      </c>
      <c r="C35" s="51"/>
      <c r="D35" s="51"/>
      <c r="E35" s="51"/>
      <c r="F35" s="442">
        <v>2</v>
      </c>
      <c r="G35" s="505" t="s">
        <v>6</v>
      </c>
      <c r="H35" s="505"/>
      <c r="I35" s="292"/>
      <c r="J35" s="57"/>
    </row>
    <row r="36" spans="1:12" ht="4.5" customHeight="1" x14ac:dyDescent="0.25">
      <c r="A36" s="39"/>
      <c r="B36" s="39"/>
      <c r="C36" s="39"/>
      <c r="D36" s="1"/>
      <c r="E36" s="1"/>
      <c r="F36" s="194"/>
      <c r="G36" s="505"/>
      <c r="H36" s="505"/>
      <c r="I36" s="292"/>
      <c r="J36" s="57"/>
      <c r="K36" s="367"/>
      <c r="L36" s="367"/>
    </row>
    <row r="37" spans="1:12" ht="12.75" customHeight="1" x14ac:dyDescent="0.25">
      <c r="B37" s="26" t="s">
        <v>106</v>
      </c>
      <c r="C37" s="60"/>
      <c r="D37" s="51"/>
      <c r="E37" s="51"/>
      <c r="F37" s="443"/>
      <c r="G37" s="505" t="s">
        <v>6</v>
      </c>
      <c r="H37" s="505"/>
      <c r="I37" s="292"/>
      <c r="J37" s="57"/>
    </row>
    <row r="38" spans="1:12" ht="12.75" customHeight="1" x14ac:dyDescent="0.25">
      <c r="B38" s="26" t="s">
        <v>107</v>
      </c>
      <c r="C38" s="60"/>
      <c r="D38" s="51"/>
      <c r="E38" s="51"/>
      <c r="F38" s="443"/>
      <c r="G38" s="505" t="s">
        <v>55</v>
      </c>
      <c r="H38" s="505"/>
      <c r="I38" s="292"/>
      <c r="J38" s="57"/>
    </row>
    <row r="39" spans="1:12" ht="12.75" customHeight="1" x14ac:dyDescent="0.25">
      <c r="B39" s="26" t="s">
        <v>108</v>
      </c>
      <c r="C39" s="60"/>
      <c r="D39" s="51"/>
      <c r="E39" s="51"/>
      <c r="F39" s="443"/>
      <c r="G39" s="505" t="s">
        <v>55</v>
      </c>
      <c r="H39" s="505"/>
      <c r="I39" s="292"/>
      <c r="J39" s="57"/>
    </row>
    <row r="40" spans="1:12" ht="12.75" customHeight="1" x14ac:dyDescent="0.25">
      <c r="B40" s="26" t="s">
        <v>109</v>
      </c>
      <c r="C40" s="60"/>
      <c r="D40" s="51"/>
      <c r="E40" s="51"/>
      <c r="F40" s="443"/>
      <c r="G40" s="505" t="s">
        <v>55</v>
      </c>
      <c r="H40" s="505"/>
      <c r="I40" s="292"/>
      <c r="J40" s="57"/>
    </row>
    <row r="41" spans="1:12" ht="12.75" customHeight="1" x14ac:dyDescent="0.25">
      <c r="B41" s="26" t="s">
        <v>110</v>
      </c>
      <c r="C41" s="60"/>
      <c r="D41" s="51"/>
      <c r="E41" s="51"/>
      <c r="F41" s="443"/>
      <c r="G41" s="505" t="s">
        <v>113</v>
      </c>
      <c r="H41" s="505"/>
      <c r="I41" s="292"/>
      <c r="J41" s="57"/>
    </row>
    <row r="42" spans="1:12" ht="12.75" customHeight="1" x14ac:dyDescent="0.25">
      <c r="B42" s="26" t="s">
        <v>111</v>
      </c>
      <c r="C42" s="60"/>
      <c r="D42" s="51"/>
      <c r="E42" s="51"/>
      <c r="F42" s="443"/>
      <c r="G42" s="505" t="s">
        <v>114</v>
      </c>
      <c r="H42" s="505"/>
      <c r="I42" s="292"/>
      <c r="J42" s="57"/>
    </row>
    <row r="43" spans="1:12" ht="12.75" customHeight="1" x14ac:dyDescent="0.25">
      <c r="B43" s="26" t="s">
        <v>112</v>
      </c>
      <c r="C43" s="60"/>
      <c r="D43" s="51"/>
      <c r="E43" s="51"/>
      <c r="F43" s="443"/>
      <c r="G43" s="505" t="s">
        <v>6</v>
      </c>
      <c r="H43" s="505"/>
      <c r="I43" s="292"/>
      <c r="J43" s="57"/>
    </row>
    <row r="44" spans="1:12" ht="4.5" customHeight="1" x14ac:dyDescent="0.25">
      <c r="A44" s="39"/>
      <c r="B44" s="39"/>
      <c r="C44" s="39"/>
      <c r="D44" s="1"/>
      <c r="E44" s="1"/>
      <c r="F44" s="194"/>
      <c r="G44" s="56"/>
      <c r="I44" s="292"/>
      <c r="J44" s="57"/>
      <c r="K44" s="367"/>
      <c r="L44" s="367"/>
    </row>
    <row r="45" spans="1:12" ht="12.75" customHeight="1" x14ac:dyDescent="0.25">
      <c r="B45" s="24" t="s">
        <v>44</v>
      </c>
      <c r="C45" s="1"/>
      <c r="D45" s="195"/>
      <c r="E45" s="196"/>
      <c r="F45" s="197" t="e">
        <f>SUM(F32:F44)</f>
        <v>#REF!</v>
      </c>
      <c r="G45" s="196"/>
      <c r="I45" s="292"/>
      <c r="J45" s="1"/>
    </row>
    <row r="46" spans="1:12" ht="12.95" customHeight="1" x14ac:dyDescent="0.25">
      <c r="B46" s="39"/>
      <c r="C46" s="1"/>
      <c r="D46" s="196"/>
      <c r="E46" s="196"/>
      <c r="F46" s="196"/>
      <c r="G46" s="196"/>
      <c r="H46" s="52"/>
      <c r="I46" s="292"/>
      <c r="J46" s="1"/>
      <c r="K46" s="367"/>
      <c r="L46" s="367"/>
    </row>
    <row r="47" spans="1:12" s="138" customFormat="1" ht="12.95" customHeight="1" x14ac:dyDescent="0.25">
      <c r="A47" s="424" t="s">
        <v>136</v>
      </c>
      <c r="B47" s="424"/>
      <c r="C47" s="424"/>
      <c r="D47" s="424"/>
      <c r="E47" s="424"/>
      <c r="F47" s="424"/>
      <c r="G47" s="424"/>
      <c r="H47" s="424"/>
      <c r="I47" s="424"/>
      <c r="J47" s="142"/>
    </row>
    <row r="48" spans="1:12" s="11" customFormat="1" ht="4.5" customHeight="1" x14ac:dyDescent="0.25">
      <c r="I48" s="2"/>
      <c r="J48" s="2"/>
    </row>
    <row r="49" spans="1:12" ht="14.25" customHeight="1" x14ac:dyDescent="0.25">
      <c r="A49" s="199" t="s">
        <v>11</v>
      </c>
      <c r="B49" s="199"/>
      <c r="C49" s="1"/>
      <c r="F49" s="221">
        <f>I27</f>
        <v>26390000</v>
      </c>
      <c r="I49" s="1"/>
      <c r="J49" s="18"/>
    </row>
    <row r="50" spans="1:12" ht="14.25" customHeight="1" x14ac:dyDescent="0.25">
      <c r="A50" s="27" t="s">
        <v>66</v>
      </c>
      <c r="B50" s="27"/>
      <c r="C50" s="27"/>
      <c r="D50" s="1"/>
      <c r="E50" s="1"/>
      <c r="F50" s="128" t="e">
        <f>0.0214*F45+0.9143</f>
        <v>#REF!</v>
      </c>
      <c r="G50" s="148"/>
      <c r="I50" s="364"/>
      <c r="J50" s="18"/>
    </row>
    <row r="51" spans="1:12" ht="14.25" customHeight="1" x14ac:dyDescent="0.25">
      <c r="A51" s="27" t="s">
        <v>177</v>
      </c>
      <c r="B51" s="27"/>
      <c r="C51" s="27"/>
      <c r="D51" s="1"/>
      <c r="E51" s="1"/>
      <c r="F51" s="330" t="e">
        <f>ROUND(IF(F49=0,"-",(-0.0466*LN(F49)+1.213)*F50/100),4)</f>
        <v>#REF!</v>
      </c>
      <c r="G51" s="333" t="s">
        <v>78</v>
      </c>
      <c r="I51" s="364"/>
      <c r="J51" s="18"/>
    </row>
    <row r="52" spans="1:12" ht="14.25" customHeight="1" x14ac:dyDescent="0.3">
      <c r="A52" s="294" t="s">
        <v>171</v>
      </c>
      <c r="B52" s="24"/>
      <c r="C52" s="24"/>
      <c r="D52" s="295"/>
      <c r="E52" s="201"/>
      <c r="F52" s="302" t="e">
        <f>IF(F49=0,"-",ROUND(F49*F51,2))</f>
        <v>#REF!</v>
      </c>
      <c r="G52" s="365" t="s">
        <v>134</v>
      </c>
      <c r="H52" s="19"/>
      <c r="I52" s="15"/>
      <c r="J52" s="18"/>
      <c r="K52" s="42"/>
      <c r="L52" s="42"/>
    </row>
    <row r="53" spans="1:12" ht="12.75" customHeight="1" x14ac:dyDescent="0.25">
      <c r="A53" s="38"/>
      <c r="B53" s="39"/>
      <c r="C53" s="39"/>
      <c r="D53" s="201"/>
      <c r="G53" s="202"/>
      <c r="H53" s="56"/>
      <c r="I53" s="40"/>
      <c r="J53" s="18"/>
      <c r="K53" s="367"/>
      <c r="L53" s="367"/>
    </row>
    <row r="54" spans="1:12" s="138" customFormat="1" ht="12.95" customHeight="1" x14ac:dyDescent="0.25">
      <c r="A54" s="424" t="s">
        <v>135</v>
      </c>
      <c r="B54" s="424"/>
      <c r="C54" s="424"/>
      <c r="D54" s="424"/>
      <c r="E54" s="424"/>
      <c r="F54" s="424"/>
      <c r="G54" s="424"/>
      <c r="H54" s="424"/>
      <c r="I54" s="424"/>
      <c r="J54" s="142"/>
    </row>
    <row r="55" spans="1:12" s="11" customFormat="1" ht="4.5" customHeight="1" x14ac:dyDescent="0.25">
      <c r="I55" s="2"/>
      <c r="J55" s="2"/>
    </row>
    <row r="56" spans="1:12" ht="12.75" customHeight="1" x14ac:dyDescent="0.25">
      <c r="A56" s="203" t="s">
        <v>34</v>
      </c>
      <c r="B56" s="203"/>
      <c r="C56" s="328"/>
      <c r="D56" s="1"/>
      <c r="E56" s="271">
        <v>0.2</v>
      </c>
      <c r="F56" s="444">
        <v>0.2</v>
      </c>
      <c r="G56" s="1"/>
      <c r="H56" s="205">
        <v>1</v>
      </c>
      <c r="I56" s="397" t="e">
        <f>IF($F$49=0,"-",$F$52*F56)</f>
        <v>#REF!</v>
      </c>
    </row>
    <row r="57" spans="1:12" ht="12.75" customHeight="1" x14ac:dyDescent="0.25">
      <c r="A57" s="203" t="s">
        <v>35</v>
      </c>
      <c r="B57" s="203"/>
      <c r="C57" s="328"/>
      <c r="D57" s="1"/>
      <c r="E57" s="272">
        <v>0.06</v>
      </c>
      <c r="F57" s="444">
        <v>0.06</v>
      </c>
      <c r="G57" s="1"/>
      <c r="H57" s="205">
        <v>2</v>
      </c>
      <c r="I57" s="397" t="e">
        <f t="shared" ref="I57:I68" si="0">IF($F$49=0,"-",$F$52*F57)</f>
        <v>#REF!</v>
      </c>
    </row>
    <row r="58" spans="1:12" ht="12.75" customHeight="1" x14ac:dyDescent="0.25">
      <c r="A58" s="203" t="s">
        <v>36</v>
      </c>
      <c r="B58" s="203"/>
      <c r="C58" s="328"/>
      <c r="D58" s="1"/>
      <c r="E58" s="272">
        <v>0.08</v>
      </c>
      <c r="F58" s="444">
        <v>0.08</v>
      </c>
      <c r="G58" s="1"/>
      <c r="H58" s="205">
        <v>3</v>
      </c>
      <c r="I58" s="397" t="e">
        <f t="shared" si="0"/>
        <v>#REF!</v>
      </c>
    </row>
    <row r="59" spans="1:12" ht="12.75" customHeight="1" x14ac:dyDescent="0.25">
      <c r="A59" s="203" t="s">
        <v>37</v>
      </c>
      <c r="B59" s="203"/>
      <c r="C59" s="328"/>
      <c r="D59" s="1"/>
      <c r="E59" s="272">
        <v>0.03</v>
      </c>
      <c r="F59" s="444">
        <v>0.03</v>
      </c>
      <c r="G59" s="1"/>
      <c r="H59" s="205">
        <v>4</v>
      </c>
      <c r="I59" s="397" t="e">
        <f t="shared" si="0"/>
        <v>#REF!</v>
      </c>
    </row>
    <row r="60" spans="1:12" ht="12.75" customHeight="1" x14ac:dyDescent="0.25">
      <c r="A60" s="203" t="s">
        <v>38</v>
      </c>
      <c r="B60" s="203"/>
      <c r="C60" s="328"/>
      <c r="D60" s="1"/>
      <c r="E60" s="272">
        <v>0.17</v>
      </c>
      <c r="F60" s="444">
        <v>0.17</v>
      </c>
      <c r="G60" s="1"/>
      <c r="H60" s="205">
        <v>5</v>
      </c>
      <c r="I60" s="397" t="e">
        <f t="shared" si="0"/>
        <v>#REF!</v>
      </c>
    </row>
    <row r="61" spans="1:12" ht="12.75" customHeight="1" x14ac:dyDescent="0.25">
      <c r="A61" s="203" t="s">
        <v>39</v>
      </c>
      <c r="B61" s="203"/>
      <c r="C61" s="328"/>
      <c r="D61" s="1"/>
      <c r="E61" s="272">
        <v>0.08</v>
      </c>
      <c r="F61" s="444">
        <v>0.08</v>
      </c>
      <c r="G61" s="1"/>
      <c r="H61" s="205">
        <v>6</v>
      </c>
      <c r="I61" s="397" t="e">
        <f t="shared" si="0"/>
        <v>#REF!</v>
      </c>
    </row>
    <row r="62" spans="1:12" ht="12.75" customHeight="1" x14ac:dyDescent="0.25">
      <c r="A62" s="203" t="s">
        <v>40</v>
      </c>
      <c r="B62" s="203"/>
      <c r="C62" s="328"/>
      <c r="D62" s="1"/>
      <c r="E62" s="272">
        <v>0.02</v>
      </c>
      <c r="F62" s="444">
        <v>0.02</v>
      </c>
      <c r="G62" s="1"/>
      <c r="H62" s="205"/>
      <c r="I62" s="397" t="e">
        <f t="shared" si="0"/>
        <v>#REF!</v>
      </c>
      <c r="K62" s="368"/>
      <c r="L62" s="368"/>
    </row>
    <row r="63" spans="1:12" ht="12.75" customHeight="1" x14ac:dyDescent="0.25">
      <c r="A63" s="203" t="s">
        <v>41</v>
      </c>
      <c r="B63" s="203"/>
      <c r="C63" s="328"/>
      <c r="D63" s="1"/>
      <c r="E63" s="272">
        <v>0.03</v>
      </c>
      <c r="F63" s="444">
        <v>0.03</v>
      </c>
      <c r="G63" s="1"/>
      <c r="H63" s="205">
        <v>7</v>
      </c>
      <c r="I63" s="397" t="e">
        <f t="shared" si="0"/>
        <v>#REF!</v>
      </c>
      <c r="K63" s="368"/>
      <c r="L63" s="368"/>
    </row>
    <row r="64" spans="1:12" ht="12.75" customHeight="1" x14ac:dyDescent="0.25">
      <c r="A64" s="186" t="s">
        <v>42</v>
      </c>
      <c r="B64" s="186"/>
      <c r="C64" s="328"/>
      <c r="D64" s="1"/>
      <c r="E64" s="272">
        <v>0.3</v>
      </c>
      <c r="F64" s="444">
        <v>0.3</v>
      </c>
      <c r="G64" s="1"/>
      <c r="H64" s="205">
        <v>8</v>
      </c>
      <c r="I64" s="397" t="e">
        <f t="shared" si="0"/>
        <v>#REF!</v>
      </c>
      <c r="K64" s="368"/>
      <c r="L64" s="368"/>
    </row>
    <row r="65" spans="1:12" ht="12.75" customHeight="1" x14ac:dyDescent="0.25">
      <c r="A65" s="277" t="s">
        <v>43</v>
      </c>
      <c r="B65" s="277"/>
      <c r="C65" s="278"/>
      <c r="D65" s="1"/>
      <c r="E65" s="276">
        <v>0.03</v>
      </c>
      <c r="F65" s="444">
        <v>0.03</v>
      </c>
      <c r="G65" s="1"/>
      <c r="H65" s="279">
        <v>9</v>
      </c>
      <c r="I65" s="397" t="e">
        <f t="shared" si="0"/>
        <v>#REF!</v>
      </c>
      <c r="K65" s="368"/>
      <c r="L65" s="368"/>
    </row>
    <row r="66" spans="1:12" s="286" customFormat="1" ht="12.75" customHeight="1" x14ac:dyDescent="0.25">
      <c r="A66" s="386" t="s">
        <v>129</v>
      </c>
      <c r="B66" s="386"/>
      <c r="C66" s="387"/>
      <c r="E66" s="388"/>
      <c r="F66" s="445">
        <v>0</v>
      </c>
      <c r="H66" s="389"/>
      <c r="I66" s="405" t="e">
        <f>IF($F$49=0,"-",$F$52*F66)</f>
        <v>#REF!</v>
      </c>
      <c r="J66" s="284"/>
      <c r="K66" s="285"/>
      <c r="L66" s="285"/>
    </row>
    <row r="67" spans="1:12" s="286" customFormat="1" ht="12.75" customHeight="1" x14ac:dyDescent="0.25">
      <c r="A67" s="386" t="s">
        <v>129</v>
      </c>
      <c r="B67" s="386"/>
      <c r="C67" s="387"/>
      <c r="E67" s="388"/>
      <c r="F67" s="445">
        <v>0</v>
      </c>
      <c r="H67" s="389"/>
      <c r="I67" s="405" t="e">
        <f>IF($F$49=0,"-",$F$52*F67)</f>
        <v>#REF!</v>
      </c>
      <c r="J67" s="284"/>
      <c r="K67" s="285"/>
      <c r="L67" s="285"/>
    </row>
    <row r="68" spans="1:12" s="286" customFormat="1" ht="12.75" customHeight="1" x14ac:dyDescent="0.25">
      <c r="A68" s="280" t="s">
        <v>129</v>
      </c>
      <c r="B68" s="280"/>
      <c r="C68" s="281"/>
      <c r="D68" s="282"/>
      <c r="E68" s="283"/>
      <c r="F68" s="446">
        <v>0</v>
      </c>
      <c r="G68" s="282"/>
      <c r="H68" s="297"/>
      <c r="I68" s="399" t="e">
        <f t="shared" si="0"/>
        <v>#REF!</v>
      </c>
      <c r="J68" s="284"/>
      <c r="K68" s="285"/>
      <c r="L68" s="285"/>
    </row>
    <row r="69" spans="1:12" ht="12.75" customHeight="1" x14ac:dyDescent="0.25">
      <c r="A69" s="206" t="s">
        <v>146</v>
      </c>
      <c r="B69" s="186"/>
      <c r="C69" s="27"/>
      <c r="D69" s="1"/>
      <c r="E69" s="325">
        <f>SUM(E56:E68)</f>
        <v>1</v>
      </c>
      <c r="F69" s="207">
        <f>SUM(F56:F68)</f>
        <v>1</v>
      </c>
      <c r="H69" s="207"/>
      <c r="I69" s="397" t="e">
        <f>SUM(I56:I68)</f>
        <v>#REF!</v>
      </c>
      <c r="K69" s="368"/>
      <c r="L69" s="368"/>
    </row>
    <row r="70" spans="1:12" ht="12.75" customHeight="1" x14ac:dyDescent="0.25">
      <c r="I70" s="361"/>
      <c r="K70" s="368"/>
      <c r="L70" s="368"/>
    </row>
    <row r="71" spans="1:12" s="138" customFormat="1" ht="12.95" customHeight="1" x14ac:dyDescent="0.25">
      <c r="A71" s="424" t="s">
        <v>137</v>
      </c>
      <c r="B71" s="424"/>
      <c r="C71" s="424"/>
      <c r="D71" s="424"/>
      <c r="E71" s="424"/>
      <c r="F71" s="424"/>
      <c r="G71" s="424"/>
      <c r="H71" s="424"/>
      <c r="I71" s="424"/>
      <c r="J71" s="142"/>
    </row>
    <row r="72" spans="1:12" s="11" customFormat="1" ht="4.5" customHeight="1" x14ac:dyDescent="0.25">
      <c r="I72" s="2"/>
      <c r="J72" s="2"/>
    </row>
    <row r="73" spans="1:12" ht="12.75" customHeight="1" x14ac:dyDescent="0.3">
      <c r="A73" s="294" t="s">
        <v>170</v>
      </c>
      <c r="E73" s="299"/>
      <c r="F73" s="381"/>
      <c r="G73" s="510"/>
      <c r="H73" s="511"/>
      <c r="I73" s="164" t="e">
        <f>I69</f>
        <v>#REF!</v>
      </c>
      <c r="K73" s="368"/>
      <c r="L73" s="368"/>
    </row>
    <row r="74" spans="1:12" ht="12.75" customHeight="1" x14ac:dyDescent="0.25">
      <c r="A74" s="47" t="s">
        <v>80</v>
      </c>
      <c r="F74" s="447">
        <v>0</v>
      </c>
      <c r="G74" s="508">
        <v>100</v>
      </c>
      <c r="H74" s="509"/>
      <c r="I74" s="164">
        <f>F74*G74</f>
        <v>0</v>
      </c>
      <c r="K74" s="368"/>
      <c r="L74" s="368"/>
    </row>
    <row r="75" spans="1:12" s="11" customFormat="1" ht="4.5" customHeight="1" x14ac:dyDescent="0.25">
      <c r="I75" s="2"/>
      <c r="J75" s="2"/>
    </row>
    <row r="76" spans="1:12" s="31" customFormat="1" ht="12.75" x14ac:dyDescent="0.2">
      <c r="A76" s="369" t="s">
        <v>173</v>
      </c>
      <c r="B76" s="370"/>
      <c r="C76" s="371"/>
      <c r="D76" s="371"/>
      <c r="E76" s="126"/>
      <c r="F76" s="372"/>
      <c r="G76" s="372"/>
      <c r="H76" s="372"/>
      <c r="I76" s="160" t="e">
        <f>I73+I74</f>
        <v>#REF!</v>
      </c>
      <c r="J76" s="35"/>
      <c r="K76" s="81"/>
      <c r="L76" s="82"/>
    </row>
    <row r="77" spans="1:12" s="31" customFormat="1" ht="4.5" customHeight="1" x14ac:dyDescent="0.2">
      <c r="B77" s="32"/>
      <c r="C77" s="33"/>
      <c r="D77" s="33"/>
      <c r="E77" s="65"/>
      <c r="F77" s="66"/>
      <c r="G77" s="92"/>
      <c r="I77" s="161"/>
      <c r="J77" s="35"/>
      <c r="K77" s="83"/>
      <c r="L77" s="84"/>
    </row>
    <row r="78" spans="1:12" s="31" customFormat="1" ht="12.75" x14ac:dyDescent="0.2">
      <c r="A78" s="67" t="s">
        <v>13</v>
      </c>
      <c r="B78" s="32"/>
      <c r="C78" s="33"/>
      <c r="D78" s="33"/>
      <c r="E78" s="75"/>
      <c r="F78" s="448">
        <v>0.04</v>
      </c>
      <c r="G78" s="93"/>
      <c r="H78" s="36"/>
      <c r="I78" s="162" t="e">
        <f>IF(F45=0,"-",ROUND(I76*F78,2))</f>
        <v>#REF!</v>
      </c>
      <c r="J78" s="35"/>
      <c r="K78" s="83"/>
      <c r="L78" s="84"/>
    </row>
    <row r="79" spans="1:12" s="31" customFormat="1" ht="3" customHeight="1" x14ac:dyDescent="0.2">
      <c r="A79" s="68"/>
      <c r="B79" s="69"/>
      <c r="C79" s="70"/>
      <c r="D79" s="70"/>
      <c r="E79" s="76"/>
      <c r="F79" s="230"/>
      <c r="G79" s="94"/>
      <c r="H79" s="68"/>
      <c r="I79" s="163"/>
      <c r="J79" s="35"/>
      <c r="K79" s="83"/>
      <c r="L79" s="84"/>
    </row>
    <row r="80" spans="1:12" s="31" customFormat="1" ht="3" customHeight="1" x14ac:dyDescent="0.2">
      <c r="B80" s="32"/>
      <c r="C80" s="33"/>
      <c r="D80" s="33"/>
      <c r="E80" s="78"/>
      <c r="F80" s="231"/>
      <c r="G80" s="95"/>
      <c r="H80" s="79"/>
      <c r="I80" s="161"/>
      <c r="J80" s="35"/>
      <c r="K80" s="83"/>
      <c r="L80" s="84"/>
    </row>
    <row r="81" spans="1:12" s="31" customFormat="1" ht="3" customHeight="1" x14ac:dyDescent="0.2">
      <c r="A81" s="36"/>
      <c r="B81" s="222"/>
      <c r="C81" s="77"/>
      <c r="D81" s="77"/>
      <c r="E81" s="71"/>
      <c r="F81" s="66"/>
      <c r="G81" s="92"/>
      <c r="I81" s="166"/>
      <c r="J81" s="35"/>
      <c r="K81" s="83"/>
      <c r="L81" s="84"/>
    </row>
    <row r="82" spans="1:12" s="31" customFormat="1" ht="12.75" x14ac:dyDescent="0.2">
      <c r="A82" s="369" t="s">
        <v>174</v>
      </c>
      <c r="B82" s="370"/>
      <c r="C82" s="371"/>
      <c r="D82" s="371"/>
      <c r="E82" s="126"/>
      <c r="F82" s="372"/>
      <c r="G82" s="372"/>
      <c r="H82" s="372"/>
      <c r="I82" s="160" t="e">
        <f>SUM(I76:I80)</f>
        <v>#REF!</v>
      </c>
      <c r="J82" s="35"/>
      <c r="K82" s="81"/>
      <c r="L82" s="82"/>
    </row>
    <row r="83" spans="1:12" s="31" customFormat="1" ht="4.5" customHeight="1" x14ac:dyDescent="0.2">
      <c r="B83" s="32"/>
      <c r="C83" s="33"/>
      <c r="D83" s="33"/>
      <c r="E83" s="65"/>
      <c r="F83" s="66"/>
      <c r="G83" s="92"/>
      <c r="I83" s="161"/>
      <c r="J83" s="35"/>
      <c r="K83" s="83"/>
      <c r="L83" s="84"/>
    </row>
    <row r="84" spans="1:12" s="31" customFormat="1" ht="12.75" x14ac:dyDescent="0.2">
      <c r="A84" s="67" t="s">
        <v>115</v>
      </c>
      <c r="B84" s="32"/>
      <c r="C84" s="33"/>
      <c r="D84" s="33"/>
      <c r="E84" s="75"/>
      <c r="F84" s="448">
        <v>0</v>
      </c>
      <c r="G84" s="93"/>
      <c r="H84" s="36"/>
      <c r="I84" s="162" t="e">
        <f>IF(F49=0,"-",ROUND(I82*F84,2))</f>
        <v>#REF!</v>
      </c>
      <c r="J84" s="35"/>
      <c r="K84" s="83"/>
      <c r="L84" s="84"/>
    </row>
    <row r="85" spans="1:12" s="31" customFormat="1" ht="3" customHeight="1" x14ac:dyDescent="0.2">
      <c r="A85" s="68"/>
      <c r="B85" s="69"/>
      <c r="C85" s="70"/>
      <c r="D85" s="70"/>
      <c r="E85" s="76"/>
      <c r="F85" s="230"/>
      <c r="G85" s="94"/>
      <c r="H85" s="68"/>
      <c r="I85" s="163"/>
      <c r="J85" s="35"/>
      <c r="K85" s="83"/>
      <c r="L85" s="84"/>
    </row>
    <row r="86" spans="1:12" s="31" customFormat="1" ht="3" customHeight="1" x14ac:dyDescent="0.2">
      <c r="B86" s="32"/>
      <c r="C86" s="33"/>
      <c r="D86" s="33"/>
      <c r="E86" s="78"/>
      <c r="F86" s="231"/>
      <c r="G86" s="95"/>
      <c r="H86" s="79"/>
      <c r="I86" s="161"/>
      <c r="J86" s="35"/>
      <c r="K86" s="83"/>
      <c r="L86" s="84"/>
    </row>
    <row r="87" spans="1:12" s="31" customFormat="1" ht="12.75" x14ac:dyDescent="0.2">
      <c r="A87" s="369" t="s">
        <v>175</v>
      </c>
      <c r="B87" s="370"/>
      <c r="C87" s="371"/>
      <c r="D87" s="371"/>
      <c r="E87" s="126"/>
      <c r="F87" s="372"/>
      <c r="G87" s="372"/>
      <c r="H87" s="372"/>
      <c r="I87" s="160" t="e">
        <f>I82+I84</f>
        <v>#REF!</v>
      </c>
      <c r="J87" s="35"/>
      <c r="K87" s="81"/>
      <c r="L87" s="82"/>
    </row>
    <row r="88" spans="1:12" s="152" customFormat="1" ht="4.5" customHeight="1" x14ac:dyDescent="0.2">
      <c r="A88" s="72"/>
      <c r="B88" s="73"/>
      <c r="C88" s="74"/>
      <c r="D88" s="74"/>
      <c r="E88" s="412"/>
      <c r="I88" s="164"/>
      <c r="J88" s="35"/>
      <c r="K88" s="81"/>
      <c r="L88" s="82"/>
    </row>
    <row r="89" spans="1:12" s="31" customFormat="1" ht="12.75" x14ac:dyDescent="0.2">
      <c r="A89" s="31" t="s">
        <v>14</v>
      </c>
      <c r="B89" s="32"/>
      <c r="D89" s="33"/>
      <c r="E89" s="71"/>
      <c r="F89" s="37">
        <v>0.2</v>
      </c>
      <c r="G89" s="37"/>
      <c r="I89" s="165" t="e">
        <f>IF(F49=0,"-",ROUND(I87*F89,2))</f>
        <v>#REF!</v>
      </c>
      <c r="J89" s="35"/>
      <c r="K89" s="83"/>
      <c r="L89" s="89"/>
    </row>
    <row r="90" spans="1:12" s="31" customFormat="1" ht="3" customHeight="1" x14ac:dyDescent="0.2">
      <c r="A90" s="36"/>
      <c r="B90" s="222"/>
      <c r="C90" s="77"/>
      <c r="D90" s="77"/>
      <c r="E90" s="71"/>
      <c r="F90" s="66"/>
      <c r="G90" s="92"/>
      <c r="I90" s="166"/>
      <c r="J90" s="35"/>
      <c r="K90" s="83"/>
      <c r="L90" s="84"/>
    </row>
    <row r="91" spans="1:12" s="36" customFormat="1" ht="12.75" x14ac:dyDescent="0.2">
      <c r="A91" s="374" t="s">
        <v>176</v>
      </c>
      <c r="B91" s="378"/>
      <c r="C91" s="375"/>
      <c r="D91" s="375"/>
      <c r="E91" s="218"/>
      <c r="F91" s="377"/>
      <c r="G91" s="377"/>
      <c r="H91" s="376"/>
      <c r="I91" s="224" t="e">
        <f>SUM(I86:I89)</f>
        <v>#REF!</v>
      </c>
      <c r="J91" s="35"/>
      <c r="K91" s="87"/>
      <c r="L91" s="88"/>
    </row>
    <row r="92" spans="1:12" ht="5.0999999999999996" customHeight="1" x14ac:dyDescent="0.25">
      <c r="K92" s="368"/>
      <c r="L92" s="368"/>
    </row>
  </sheetData>
  <mergeCells count="25">
    <mergeCell ref="G74:H74"/>
    <mergeCell ref="G39:H39"/>
    <mergeCell ref="G40:H40"/>
    <mergeCell ref="G41:H41"/>
    <mergeCell ref="G42:H42"/>
    <mergeCell ref="G43:H43"/>
    <mergeCell ref="G73:H73"/>
    <mergeCell ref="G38:H38"/>
    <mergeCell ref="A17:B17"/>
    <mergeCell ref="A19:B19"/>
    <mergeCell ref="A21:B21"/>
    <mergeCell ref="A23:B23"/>
    <mergeCell ref="G31:H31"/>
    <mergeCell ref="G32:H32"/>
    <mergeCell ref="G33:H33"/>
    <mergeCell ref="G34:H34"/>
    <mergeCell ref="G35:H35"/>
    <mergeCell ref="G36:H36"/>
    <mergeCell ref="G37:H37"/>
    <mergeCell ref="A15:B15"/>
    <mergeCell ref="H2:I2"/>
    <mergeCell ref="A7:B7"/>
    <mergeCell ref="A9:B9"/>
    <mergeCell ref="A11:B11"/>
    <mergeCell ref="A13:B13"/>
  </mergeCells>
  <pageMargins left="0.59055118110236227" right="0.39370078740157483" top="0.55118110236220474" bottom="0.78740157480314965" header="0.31496062992125984" footer="0.31496062992125984"/>
  <pageSetup paperSize="9" scale="71" pageOrder="overThenDown" orientation="portrait" r:id="rId1"/>
  <headerFooter>
    <oddFooter>&amp;L&amp;"Arial,Fett"&amp;10&amp;K01+026Kostenrahmen Gesamtabwicklung &amp;C&amp;"Arial,Standard"&amp;10&amp;K4D4D4DErstellt am: 25.02.16; Gedruckt am: &amp;D&amp;R&amp;"Arial,Standard"&amp;10&amp;K01+026Seite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rgb="FFC00000"/>
  </sheetPr>
  <dimension ref="A1:M92"/>
  <sheetViews>
    <sheetView showGridLines="0" view="pageBreakPreview" zoomScaleNormal="85" zoomScaleSheetLayoutView="100" zoomScalePageLayoutView="85" workbookViewId="0">
      <selection activeCell="M60" sqref="M60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1" customWidth="1"/>
    <col min="6" max="6" width="14.7109375" style="8" customWidth="1"/>
    <col min="7" max="7" width="2.7109375" style="41" customWidth="1"/>
    <col min="8" max="8" width="11.28515625" style="9" customWidth="1" collapsed="1"/>
    <col min="9" max="9" width="14.7109375" style="10" customWidth="1"/>
    <col min="10" max="10" width="2.7109375" style="58" customWidth="1"/>
    <col min="11" max="11" width="62.85546875" bestFit="1" customWidth="1"/>
    <col min="14" max="16384" width="11.5703125" style="1"/>
  </cols>
  <sheetData>
    <row r="1" spans="1:13" ht="5.0999999999999996" customHeight="1" x14ac:dyDescent="0.25"/>
    <row r="2" spans="1:13" s="53" customFormat="1" ht="35.1" customHeight="1" x14ac:dyDescent="0.25">
      <c r="A2" s="439" t="s">
        <v>192</v>
      </c>
      <c r="C2" s="13"/>
      <c r="D2" s="102"/>
      <c r="F2" s="54"/>
      <c r="G2" s="54"/>
      <c r="H2" s="504" t="s">
        <v>73</v>
      </c>
      <c r="I2" s="504"/>
      <c r="J2" s="61"/>
      <c r="K2" s="55"/>
      <c r="L2" s="55"/>
      <c r="M2" s="55"/>
    </row>
    <row r="3" spans="1:13" s="138" customFormat="1" ht="12.95" customHeight="1" x14ac:dyDescent="0.25">
      <c r="A3" s="275" t="s">
        <v>77</v>
      </c>
      <c r="B3" s="275"/>
      <c r="C3" s="275"/>
      <c r="D3" s="275"/>
      <c r="E3" s="275"/>
      <c r="F3" s="275"/>
      <c r="G3" s="275"/>
      <c r="H3" s="275"/>
      <c r="I3" s="275"/>
      <c r="J3" s="142"/>
      <c r="K3" s="3"/>
    </row>
    <row r="4" spans="1:13" s="11" customFormat="1" ht="6" customHeight="1" x14ac:dyDescent="0.25">
      <c r="I4" s="2"/>
      <c r="J4" s="2"/>
    </row>
    <row r="5" spans="1:13" s="11" customFormat="1" ht="12.95" customHeight="1" x14ac:dyDescent="0.25">
      <c r="E5" s="99" t="s">
        <v>62</v>
      </c>
      <c r="F5" s="44" t="s">
        <v>49</v>
      </c>
      <c r="G5" s="44"/>
      <c r="H5" s="16" t="s">
        <v>15</v>
      </c>
      <c r="I5" s="114" t="s">
        <v>50</v>
      </c>
      <c r="J5" s="44"/>
    </row>
    <row r="6" spans="1:13" s="11" customFormat="1" ht="6" customHeight="1" x14ac:dyDescent="0.25">
      <c r="F6" s="97"/>
      <c r="I6" s="2"/>
      <c r="J6" s="2"/>
    </row>
    <row r="7" spans="1:13" s="12" customFormat="1" ht="12.95" customHeight="1" x14ac:dyDescent="0.2">
      <c r="A7" s="503">
        <v>1</v>
      </c>
      <c r="B7" s="503"/>
      <c r="C7" s="105"/>
      <c r="D7" s="106" t="s">
        <v>0</v>
      </c>
      <c r="E7" s="153">
        <f>F7/_1_9</f>
        <v>2.4435811028050126E-3</v>
      </c>
      <c r="F7" s="172">
        <f>_1</f>
        <v>70000</v>
      </c>
      <c r="G7" s="103"/>
      <c r="H7" s="131">
        <v>0</v>
      </c>
      <c r="I7" s="172">
        <f>F7*H7</f>
        <v>0</v>
      </c>
      <c r="J7" s="49"/>
    </row>
    <row r="8" spans="1:13" ht="2.25" customHeight="1" x14ac:dyDescent="0.25">
      <c r="B8" s="4"/>
      <c r="C8" s="6"/>
      <c r="D8" s="1"/>
      <c r="E8" s="154"/>
      <c r="F8" s="167"/>
      <c r="G8" s="1"/>
      <c r="H8" s="421"/>
      <c r="I8" s="167"/>
      <c r="J8" s="62"/>
    </row>
    <row r="9" spans="1:13" s="12" customFormat="1" ht="12.75" customHeight="1" x14ac:dyDescent="0.2">
      <c r="A9" s="503">
        <v>2</v>
      </c>
      <c r="B9" s="503"/>
      <c r="C9" s="105"/>
      <c r="D9" s="106" t="s">
        <v>1</v>
      </c>
      <c r="E9" s="153">
        <f>F9/_1_9</f>
        <v>0.31417471321778734</v>
      </c>
      <c r="F9" s="172">
        <f>_2</f>
        <v>9000000</v>
      </c>
      <c r="G9" s="103"/>
      <c r="H9" s="131">
        <v>1</v>
      </c>
      <c r="I9" s="172">
        <f>F9*H9</f>
        <v>9000000</v>
      </c>
      <c r="J9" s="49"/>
    </row>
    <row r="10" spans="1:13" ht="2.25" customHeight="1" x14ac:dyDescent="0.25">
      <c r="B10" s="13"/>
      <c r="C10" s="13"/>
      <c r="D10" s="14"/>
      <c r="E10" s="154"/>
      <c r="F10" s="168"/>
      <c r="G10" s="1"/>
      <c r="H10" s="421"/>
      <c r="I10" s="168"/>
      <c r="J10" s="49"/>
    </row>
    <row r="11" spans="1:13" s="11" customFormat="1" ht="12.95" customHeight="1" x14ac:dyDescent="0.2">
      <c r="A11" s="503">
        <v>3</v>
      </c>
      <c r="B11" s="503"/>
      <c r="C11" s="105"/>
      <c r="D11" s="106" t="s">
        <v>7</v>
      </c>
      <c r="E11" s="153">
        <f>F11/_1_9</f>
        <v>0.28275724189600859</v>
      </c>
      <c r="F11" s="327">
        <f>_3</f>
        <v>8100000</v>
      </c>
      <c r="G11" s="103"/>
      <c r="H11" s="131">
        <v>1</v>
      </c>
      <c r="I11" s="327">
        <f>F11*H11</f>
        <v>8100000</v>
      </c>
      <c r="J11" s="49"/>
    </row>
    <row r="12" spans="1:13" ht="2.25" customHeight="1" x14ac:dyDescent="0.25">
      <c r="B12" s="13"/>
      <c r="C12" s="13"/>
      <c r="D12" s="14"/>
      <c r="E12" s="154"/>
      <c r="F12" s="151"/>
      <c r="G12" s="1"/>
      <c r="H12" s="420"/>
      <c r="I12" s="151"/>
      <c r="J12" s="48"/>
    </row>
    <row r="13" spans="1:13" s="11" customFormat="1" ht="12.75" customHeight="1" x14ac:dyDescent="0.2">
      <c r="A13" s="503">
        <v>4</v>
      </c>
      <c r="B13" s="503"/>
      <c r="C13" s="105"/>
      <c r="D13" s="106" t="s">
        <v>2</v>
      </c>
      <c r="E13" s="153">
        <f>F13/_1_9</f>
        <v>0.22690395954617973</v>
      </c>
      <c r="F13" s="172">
        <f>_4</f>
        <v>6500000</v>
      </c>
      <c r="G13" s="103"/>
      <c r="H13" s="131">
        <v>1</v>
      </c>
      <c r="I13" s="327">
        <f>F13*H13</f>
        <v>6500000</v>
      </c>
      <c r="J13" s="49"/>
    </row>
    <row r="14" spans="1:13" ht="2.25" customHeight="1" x14ac:dyDescent="0.25">
      <c r="B14" s="4"/>
      <c r="C14" s="6"/>
      <c r="D14" s="1"/>
      <c r="E14" s="154"/>
      <c r="F14" s="151"/>
      <c r="G14" s="1"/>
      <c r="H14" s="422"/>
      <c r="I14" s="151"/>
      <c r="J14" s="47"/>
      <c r="K14" s="42"/>
    </row>
    <row r="15" spans="1:13" s="12" customFormat="1" ht="12.95" customHeight="1" x14ac:dyDescent="0.2">
      <c r="A15" s="503">
        <v>5</v>
      </c>
      <c r="B15" s="503"/>
      <c r="C15" s="105"/>
      <c r="D15" s="106" t="s">
        <v>9</v>
      </c>
      <c r="E15" s="153">
        <f>F15/_1_9</f>
        <v>5.7598697423261007E-2</v>
      </c>
      <c r="F15" s="327">
        <f>_5</f>
        <v>1650000</v>
      </c>
      <c r="G15" s="103"/>
      <c r="H15" s="131">
        <v>1</v>
      </c>
      <c r="I15" s="327">
        <f>H15*F15</f>
        <v>1650000</v>
      </c>
      <c r="J15" s="49"/>
    </row>
    <row r="16" spans="1:13" ht="2.25" customHeight="1" x14ac:dyDescent="0.25">
      <c r="B16" s="13"/>
      <c r="C16" s="13"/>
      <c r="D16" s="14"/>
      <c r="E16" s="154"/>
      <c r="F16" s="168"/>
      <c r="G16" s="1"/>
      <c r="H16" s="421"/>
      <c r="I16" s="168"/>
      <c r="J16" s="49"/>
      <c r="K16" s="42"/>
    </row>
    <row r="17" spans="1:13" s="11" customFormat="1" ht="12.75" customHeight="1" x14ac:dyDescent="0.2">
      <c r="A17" s="503">
        <v>6</v>
      </c>
      <c r="B17" s="503"/>
      <c r="C17" s="105"/>
      <c r="D17" s="106" t="s">
        <v>3</v>
      </c>
      <c r="E17" s="153">
        <f>F17/_1_9</f>
        <v>1.7454150734321518E-2</v>
      </c>
      <c r="F17" s="172">
        <f>_6</f>
        <v>500000</v>
      </c>
      <c r="G17" s="103"/>
      <c r="H17" s="131">
        <v>1</v>
      </c>
      <c r="I17" s="327">
        <f>F17*H17</f>
        <v>500000</v>
      </c>
      <c r="J17" s="49"/>
    </row>
    <row r="18" spans="1:13" ht="2.25" customHeight="1" x14ac:dyDescent="0.25">
      <c r="B18" s="17"/>
      <c r="C18" s="5"/>
      <c r="D18" s="1"/>
      <c r="E18" s="157"/>
      <c r="F18" s="151"/>
      <c r="G18" s="1"/>
      <c r="H18" s="422"/>
      <c r="I18" s="151"/>
      <c r="J18" s="49"/>
      <c r="K18" s="18"/>
      <c r="L18" s="30"/>
      <c r="M18" s="30"/>
    </row>
    <row r="19" spans="1:13" s="12" customFormat="1" ht="12.95" customHeight="1" x14ac:dyDescent="0.2">
      <c r="A19" s="503">
        <v>7</v>
      </c>
      <c r="B19" s="503"/>
      <c r="C19" s="105"/>
      <c r="D19" s="106" t="s">
        <v>131</v>
      </c>
      <c r="E19" s="153">
        <f>F19/_1_9</f>
        <v>4.1557674876936845E-2</v>
      </c>
      <c r="F19" s="172">
        <f>_7</f>
        <v>1190481.1499999999</v>
      </c>
      <c r="G19" s="103"/>
      <c r="H19" s="131">
        <v>0</v>
      </c>
      <c r="I19" s="172">
        <f>F19*H19</f>
        <v>0</v>
      </c>
      <c r="J19" s="49"/>
      <c r="K19" s="3"/>
    </row>
    <row r="20" spans="1:13" ht="2.25" customHeight="1" x14ac:dyDescent="0.25">
      <c r="B20" s="13"/>
      <c r="C20" s="13"/>
      <c r="D20" s="14"/>
      <c r="E20" s="157"/>
      <c r="F20" s="168"/>
      <c r="G20" s="1"/>
      <c r="H20" s="421"/>
      <c r="I20" s="168"/>
      <c r="J20" s="49"/>
      <c r="K20" s="18"/>
      <c r="L20" s="30"/>
    </row>
    <row r="21" spans="1:13" s="12" customFormat="1" ht="12.95" customHeight="1" x14ac:dyDescent="0.2">
      <c r="A21" s="503">
        <v>8</v>
      </c>
      <c r="B21" s="503"/>
      <c r="C21" s="105"/>
      <c r="D21" s="106" t="s">
        <v>130</v>
      </c>
      <c r="E21" s="153">
        <f>F21/_1_9</f>
        <v>1.2566988528711492E-3</v>
      </c>
      <c r="F21" s="172">
        <f>_8</f>
        <v>36000</v>
      </c>
      <c r="G21" s="103"/>
      <c r="H21" s="131">
        <v>0</v>
      </c>
      <c r="I21" s="172">
        <f>F21*H21</f>
        <v>0</v>
      </c>
      <c r="J21" s="49"/>
      <c r="K21" s="180"/>
    </row>
    <row r="22" spans="1:13" ht="2.25" customHeight="1" x14ac:dyDescent="0.25">
      <c r="B22" s="13"/>
      <c r="C22" s="13"/>
      <c r="D22" s="14"/>
      <c r="E22" s="157"/>
      <c r="F22" s="151"/>
      <c r="G22" s="1"/>
      <c r="H22" s="420"/>
      <c r="I22" s="151"/>
      <c r="J22" s="48"/>
      <c r="K22" s="29"/>
      <c r="L22" s="30"/>
    </row>
    <row r="23" spans="1:13" s="12" customFormat="1" ht="12.95" customHeight="1" x14ac:dyDescent="0.2">
      <c r="A23" s="503">
        <v>9</v>
      </c>
      <c r="B23" s="503"/>
      <c r="C23" s="105"/>
      <c r="D23" s="106" t="s">
        <v>10</v>
      </c>
      <c r="E23" s="153">
        <f>F23/_1_9</f>
        <v>5.5853282349828857E-2</v>
      </c>
      <c r="F23" s="172">
        <f>_9</f>
        <v>1600000</v>
      </c>
      <c r="G23" s="103"/>
      <c r="H23" s="131">
        <v>0.4</v>
      </c>
      <c r="I23" s="172">
        <f>F23*H23</f>
        <v>640000</v>
      </c>
      <c r="J23" s="49"/>
      <c r="K23" s="29"/>
    </row>
    <row r="24" spans="1:13" ht="12" customHeight="1" x14ac:dyDescent="0.25">
      <c r="B24" s="17"/>
      <c r="C24" s="5"/>
      <c r="D24" s="1"/>
      <c r="E24" s="46"/>
      <c r="F24" s="1"/>
      <c r="G24" s="1"/>
      <c r="H24" s="1"/>
      <c r="I24" s="1"/>
      <c r="J24" s="1"/>
      <c r="K24" s="29"/>
      <c r="L24" s="30"/>
    </row>
    <row r="25" spans="1:13" s="137" customFormat="1" ht="12.95" customHeight="1" x14ac:dyDescent="0.25">
      <c r="A25" s="139" t="s">
        <v>12</v>
      </c>
      <c r="B25" s="140"/>
      <c r="C25" s="140"/>
      <c r="D25" s="140"/>
      <c r="E25" s="143">
        <f>SUM(E7:E23)</f>
        <v>1</v>
      </c>
      <c r="F25" s="141">
        <f>SUM(F7+F9+F11+F13+F15+F17+F19+F21+F23)</f>
        <v>28646481.149999999</v>
      </c>
      <c r="G25" s="144"/>
      <c r="H25" s="184"/>
      <c r="I25" s="3"/>
      <c r="J25" s="3"/>
      <c r="K25" s="3"/>
      <c r="L25" s="145"/>
      <c r="M25" s="145"/>
    </row>
    <row r="26" spans="1:13" ht="4.5" customHeight="1" x14ac:dyDescent="0.25">
      <c r="B26" s="13"/>
      <c r="C26" s="13"/>
      <c r="D26" s="14"/>
      <c r="E26" s="46"/>
      <c r="F26" s="14"/>
      <c r="G26" s="1"/>
      <c r="H26" s="19"/>
      <c r="I26" s="15"/>
      <c r="J26" s="18"/>
      <c r="K26" s="29"/>
      <c r="L26" s="30"/>
    </row>
    <row r="27" spans="1:13" s="138" customFormat="1" ht="12.95" customHeight="1" x14ac:dyDescent="0.25">
      <c r="A27" s="304" t="s">
        <v>31</v>
      </c>
      <c r="B27" s="140"/>
      <c r="C27" s="140"/>
      <c r="D27" s="140"/>
      <c r="E27" s="140"/>
      <c r="F27" s="140"/>
      <c r="G27" s="140"/>
      <c r="H27" s="303"/>
      <c r="I27" s="141">
        <f>SUM(I7:I23)</f>
        <v>26390000</v>
      </c>
      <c r="J27" s="142"/>
      <c r="K27" s="3"/>
    </row>
    <row r="28" spans="1:13" ht="13.5" customHeight="1" x14ac:dyDescent="0.25">
      <c r="A28" s="186"/>
      <c r="B28" s="186"/>
      <c r="C28" s="186"/>
      <c r="D28" s="186"/>
      <c r="E28" s="187"/>
      <c r="F28" s="186"/>
      <c r="G28" s="187"/>
      <c r="I28" s="291"/>
    </row>
    <row r="29" spans="1:13" s="138" customFormat="1" ht="12.95" customHeight="1" x14ac:dyDescent="0.25">
      <c r="A29" s="275" t="s">
        <v>63</v>
      </c>
      <c r="B29" s="275"/>
      <c r="C29" s="275"/>
      <c r="D29" s="275"/>
      <c r="E29" s="275"/>
      <c r="F29" s="275"/>
      <c r="G29" s="275"/>
      <c r="H29" s="275"/>
      <c r="I29" s="275"/>
      <c r="J29" s="142"/>
      <c r="K29" s="3"/>
    </row>
    <row r="30" spans="1:13" s="11" customFormat="1" ht="4.5" customHeight="1" x14ac:dyDescent="0.25">
      <c r="I30" s="2"/>
      <c r="J30" s="2"/>
    </row>
    <row r="31" spans="1:13" ht="12.75" customHeight="1" x14ac:dyDescent="0.25">
      <c r="A31" s="24"/>
      <c r="B31" s="24"/>
      <c r="C31" s="24"/>
      <c r="D31" s="1"/>
      <c r="E31" s="1"/>
      <c r="F31" s="190" t="s">
        <v>5</v>
      </c>
      <c r="G31" s="506" t="s">
        <v>4</v>
      </c>
      <c r="H31" s="506"/>
      <c r="I31" s="292"/>
      <c r="J31" s="57"/>
    </row>
    <row r="32" spans="1:13" ht="12.75" customHeight="1" x14ac:dyDescent="0.25">
      <c r="B32" s="25" t="s">
        <v>45</v>
      </c>
      <c r="C32" s="59"/>
      <c r="D32" s="50"/>
      <c r="E32" s="50"/>
      <c r="F32" s="146">
        <v>14</v>
      </c>
      <c r="G32" s="507" t="s">
        <v>32</v>
      </c>
      <c r="H32" s="507"/>
      <c r="I32" s="292"/>
      <c r="J32" s="57"/>
    </row>
    <row r="33" spans="1:13" ht="12.75" customHeight="1" x14ac:dyDescent="0.25">
      <c r="B33" s="26" t="s">
        <v>46</v>
      </c>
      <c r="C33" s="60"/>
      <c r="D33" s="51"/>
      <c r="E33" s="51"/>
      <c r="F33" s="146">
        <v>2</v>
      </c>
      <c r="G33" s="505" t="s">
        <v>6</v>
      </c>
      <c r="H33" s="505"/>
      <c r="I33" s="292"/>
      <c r="J33" s="57"/>
    </row>
    <row r="34" spans="1:13" ht="12.75" customHeight="1" x14ac:dyDescent="0.25">
      <c r="B34" s="26" t="s">
        <v>47</v>
      </c>
      <c r="C34" s="60"/>
      <c r="D34" s="51"/>
      <c r="E34" s="51"/>
      <c r="F34" s="146">
        <v>1</v>
      </c>
      <c r="G34" s="505" t="s">
        <v>6</v>
      </c>
      <c r="H34" s="505"/>
      <c r="I34" s="292"/>
      <c r="J34" s="57"/>
    </row>
    <row r="35" spans="1:13" ht="12.75" customHeight="1" x14ac:dyDescent="0.25">
      <c r="B35" s="26" t="s">
        <v>48</v>
      </c>
      <c r="C35" s="51"/>
      <c r="D35" s="51"/>
      <c r="E35" s="51"/>
      <c r="F35" s="146">
        <v>2</v>
      </c>
      <c r="G35" s="505" t="s">
        <v>6</v>
      </c>
      <c r="H35" s="505"/>
      <c r="I35" s="292"/>
      <c r="J35" s="57"/>
    </row>
    <row r="36" spans="1:13" ht="4.5" customHeight="1" x14ac:dyDescent="0.25">
      <c r="A36" s="39"/>
      <c r="B36" s="39"/>
      <c r="C36" s="39"/>
      <c r="D36" s="1"/>
      <c r="E36" s="1"/>
      <c r="F36" s="194"/>
      <c r="G36" s="505"/>
      <c r="H36" s="505"/>
      <c r="I36" s="292"/>
      <c r="J36" s="57"/>
      <c r="K36" s="30"/>
      <c r="L36" s="30"/>
      <c r="M36" s="30"/>
    </row>
    <row r="37" spans="1:13" ht="12.75" customHeight="1" x14ac:dyDescent="0.25">
      <c r="B37" s="26" t="s">
        <v>106</v>
      </c>
      <c r="C37" s="60"/>
      <c r="D37" s="51"/>
      <c r="E37" s="51"/>
      <c r="F37" s="147"/>
      <c r="G37" s="505" t="s">
        <v>6</v>
      </c>
      <c r="H37" s="505"/>
      <c r="I37" s="292"/>
      <c r="J37" s="57"/>
    </row>
    <row r="38" spans="1:13" ht="12.75" customHeight="1" x14ac:dyDescent="0.25">
      <c r="B38" s="26" t="s">
        <v>107</v>
      </c>
      <c r="C38" s="60"/>
      <c r="D38" s="51"/>
      <c r="E38" s="51"/>
      <c r="F38" s="147"/>
      <c r="G38" s="505" t="s">
        <v>55</v>
      </c>
      <c r="H38" s="505"/>
      <c r="I38" s="292"/>
      <c r="J38" s="57"/>
    </row>
    <row r="39" spans="1:13" ht="12.75" customHeight="1" x14ac:dyDescent="0.25">
      <c r="B39" s="26" t="s">
        <v>108</v>
      </c>
      <c r="C39" s="60"/>
      <c r="D39" s="51"/>
      <c r="E39" s="51"/>
      <c r="F39" s="147"/>
      <c r="G39" s="505" t="s">
        <v>55</v>
      </c>
      <c r="H39" s="505"/>
      <c r="I39" s="292"/>
      <c r="J39" s="57"/>
    </row>
    <row r="40" spans="1:13" ht="12.75" customHeight="1" x14ac:dyDescent="0.25">
      <c r="B40" s="26" t="s">
        <v>109</v>
      </c>
      <c r="C40" s="60"/>
      <c r="D40" s="51"/>
      <c r="E40" s="51"/>
      <c r="F40" s="147"/>
      <c r="G40" s="505" t="s">
        <v>55</v>
      </c>
      <c r="H40" s="505"/>
      <c r="I40" s="292"/>
      <c r="J40" s="57"/>
    </row>
    <row r="41" spans="1:13" ht="12.75" customHeight="1" x14ac:dyDescent="0.25">
      <c r="B41" s="26" t="s">
        <v>110</v>
      </c>
      <c r="C41" s="60"/>
      <c r="D41" s="51"/>
      <c r="E41" s="51"/>
      <c r="F41" s="147"/>
      <c r="G41" s="505" t="s">
        <v>113</v>
      </c>
      <c r="H41" s="505"/>
      <c r="I41" s="292"/>
      <c r="J41" s="57"/>
    </row>
    <row r="42" spans="1:13" ht="12.75" customHeight="1" x14ac:dyDescent="0.25">
      <c r="B42" s="26" t="s">
        <v>111</v>
      </c>
      <c r="C42" s="60"/>
      <c r="D42" s="51"/>
      <c r="E42" s="51"/>
      <c r="F42" s="147"/>
      <c r="G42" s="505" t="s">
        <v>114</v>
      </c>
      <c r="H42" s="505"/>
      <c r="I42" s="292"/>
      <c r="J42" s="57"/>
    </row>
    <row r="43" spans="1:13" ht="12.75" customHeight="1" x14ac:dyDescent="0.25">
      <c r="B43" s="26" t="s">
        <v>112</v>
      </c>
      <c r="C43" s="60"/>
      <c r="D43" s="51"/>
      <c r="E43" s="51"/>
      <c r="F43" s="147"/>
      <c r="G43" s="505" t="s">
        <v>6</v>
      </c>
      <c r="H43" s="505"/>
      <c r="I43" s="292"/>
      <c r="J43" s="57"/>
    </row>
    <row r="44" spans="1:13" ht="4.5" customHeight="1" x14ac:dyDescent="0.25">
      <c r="A44" s="39"/>
      <c r="B44" s="39"/>
      <c r="C44" s="39"/>
      <c r="D44" s="1"/>
      <c r="E44" s="1"/>
      <c r="F44" s="194"/>
      <c r="G44" s="56"/>
      <c r="I44" s="292"/>
      <c r="J44" s="57"/>
      <c r="K44" s="30"/>
      <c r="L44" s="30"/>
      <c r="M44" s="30"/>
    </row>
    <row r="45" spans="1:13" ht="12.75" customHeight="1" x14ac:dyDescent="0.25">
      <c r="B45" s="24" t="s">
        <v>44</v>
      </c>
      <c r="C45" s="1"/>
      <c r="D45" s="195"/>
      <c r="E45" s="196"/>
      <c r="F45" s="197">
        <f>SUM(F32:F44)</f>
        <v>19</v>
      </c>
      <c r="G45" s="196"/>
      <c r="I45" s="292"/>
      <c r="J45" s="1"/>
    </row>
    <row r="46" spans="1:13" ht="12.95" customHeight="1" x14ac:dyDescent="0.25">
      <c r="B46" s="39"/>
      <c r="C46" s="1"/>
      <c r="D46" s="196"/>
      <c r="E46" s="196"/>
      <c r="F46" s="196"/>
      <c r="G46" s="196"/>
      <c r="H46" s="52"/>
      <c r="I46" s="292"/>
      <c r="J46" s="1"/>
      <c r="K46" s="30"/>
      <c r="L46" s="30"/>
      <c r="M46" s="30"/>
    </row>
    <row r="47" spans="1:13" s="138" customFormat="1" ht="12.95" customHeight="1" x14ac:dyDescent="0.25">
      <c r="A47" s="275" t="s">
        <v>136</v>
      </c>
      <c r="B47" s="275"/>
      <c r="C47" s="275"/>
      <c r="D47" s="275"/>
      <c r="E47" s="275"/>
      <c r="F47" s="275"/>
      <c r="G47" s="275"/>
      <c r="H47" s="275"/>
      <c r="I47" s="275"/>
      <c r="J47" s="142"/>
      <c r="K47" s="3"/>
    </row>
    <row r="48" spans="1:13" s="11" customFormat="1" ht="4.5" customHeight="1" x14ac:dyDescent="0.25">
      <c r="I48" s="2"/>
      <c r="J48" s="2"/>
    </row>
    <row r="49" spans="1:13" ht="14.25" customHeight="1" x14ac:dyDescent="0.25">
      <c r="A49" s="199" t="s">
        <v>11</v>
      </c>
      <c r="B49" s="199"/>
      <c r="C49" s="1"/>
      <c r="F49" s="221">
        <f>I27</f>
        <v>26390000</v>
      </c>
      <c r="I49" s="1"/>
      <c r="J49" s="18"/>
    </row>
    <row r="50" spans="1:13" ht="14.25" customHeight="1" x14ac:dyDescent="0.25">
      <c r="A50" s="27" t="s">
        <v>66</v>
      </c>
      <c r="B50" s="27"/>
      <c r="C50" s="27"/>
      <c r="D50" s="1"/>
      <c r="E50" s="1"/>
      <c r="F50" s="128">
        <f>0.0214*F45+0.9143</f>
        <v>1.3209</v>
      </c>
      <c r="G50" s="148"/>
      <c r="I50" s="293"/>
      <c r="J50" s="18"/>
    </row>
    <row r="51" spans="1:13" ht="14.25" customHeight="1" x14ac:dyDescent="0.25">
      <c r="A51" s="27" t="s">
        <v>64</v>
      </c>
      <c r="B51" s="27"/>
      <c r="C51" s="27"/>
      <c r="D51" s="1"/>
      <c r="E51" s="1"/>
      <c r="F51" s="200">
        <f>ROUND(IF(F49=0,"-",(-0.0778*LN(F49)+2.022)*F50/100),4)</f>
        <v>9.1000000000000004E-3</v>
      </c>
      <c r="G51" s="225" t="s">
        <v>78</v>
      </c>
      <c r="I51" s="293"/>
      <c r="J51" s="18"/>
    </row>
    <row r="52" spans="1:13" ht="14.25" customHeight="1" x14ac:dyDescent="0.3">
      <c r="A52" s="294" t="s">
        <v>133</v>
      </c>
      <c r="B52" s="24"/>
      <c r="C52" s="24"/>
      <c r="D52" s="295"/>
      <c r="E52" s="201"/>
      <c r="F52" s="302">
        <f>IF(F49=0,"-",ROUND(F49*F51,2))</f>
        <v>240149</v>
      </c>
      <c r="G52" s="298" t="s">
        <v>134</v>
      </c>
      <c r="H52" s="19"/>
      <c r="I52" s="15"/>
      <c r="J52" s="18"/>
      <c r="K52" s="130"/>
      <c r="L52" s="42"/>
      <c r="M52" s="42"/>
    </row>
    <row r="53" spans="1:13" ht="12.75" customHeight="1" x14ac:dyDescent="0.25">
      <c r="A53" s="38"/>
      <c r="B53" s="39"/>
      <c r="C53" s="39"/>
      <c r="D53" s="201"/>
      <c r="G53" s="202"/>
      <c r="H53" s="56"/>
      <c r="I53" s="40"/>
      <c r="J53" s="18"/>
      <c r="K53" s="30"/>
      <c r="L53" s="30"/>
      <c r="M53" s="30"/>
    </row>
    <row r="54" spans="1:13" s="138" customFormat="1" ht="12.95" customHeight="1" x14ac:dyDescent="0.25">
      <c r="A54" s="275" t="s">
        <v>135</v>
      </c>
      <c r="B54" s="275"/>
      <c r="C54" s="275"/>
      <c r="D54" s="275"/>
      <c r="E54" s="275"/>
      <c r="F54" s="275"/>
      <c r="G54" s="275"/>
      <c r="H54" s="275"/>
      <c r="I54" s="275"/>
      <c r="J54" s="142"/>
      <c r="K54" s="3"/>
    </row>
    <row r="55" spans="1:13" s="11" customFormat="1" ht="4.5" customHeight="1" x14ac:dyDescent="0.25">
      <c r="I55" s="2"/>
      <c r="J55" s="2"/>
    </row>
    <row r="56" spans="1:13" ht="12.75" customHeight="1" x14ac:dyDescent="0.25">
      <c r="A56" s="203" t="s">
        <v>34</v>
      </c>
      <c r="B56" s="203"/>
      <c r="C56" s="204"/>
      <c r="D56" s="1"/>
      <c r="E56" s="271">
        <v>0.2</v>
      </c>
      <c r="F56" s="296">
        <v>0.2</v>
      </c>
      <c r="G56" s="1"/>
      <c r="H56" s="205">
        <v>1</v>
      </c>
      <c r="I56" s="397">
        <f>IF($F$49=0,"-",$F$52*F56)</f>
        <v>48029.8</v>
      </c>
    </row>
    <row r="57" spans="1:13" ht="12.75" customHeight="1" x14ac:dyDescent="0.25">
      <c r="A57" s="203" t="s">
        <v>35</v>
      </c>
      <c r="B57" s="203"/>
      <c r="C57" s="204"/>
      <c r="D57" s="1"/>
      <c r="E57" s="272">
        <v>0.06</v>
      </c>
      <c r="F57" s="296">
        <v>0.06</v>
      </c>
      <c r="G57" s="1"/>
      <c r="H57" s="205">
        <v>2</v>
      </c>
      <c r="I57" s="397">
        <f t="shared" ref="I57:I68" si="0">IF($F$49=0,"-",$F$52*F57)</f>
        <v>14408.939999999999</v>
      </c>
    </row>
    <row r="58" spans="1:13" ht="12.75" customHeight="1" x14ac:dyDescent="0.25">
      <c r="A58" s="203" t="s">
        <v>36</v>
      </c>
      <c r="B58" s="203"/>
      <c r="C58" s="204"/>
      <c r="D58" s="1"/>
      <c r="E58" s="272">
        <v>0.08</v>
      </c>
      <c r="F58" s="296">
        <v>0.08</v>
      </c>
      <c r="G58" s="1"/>
      <c r="H58" s="205">
        <v>3</v>
      </c>
      <c r="I58" s="397">
        <f t="shared" si="0"/>
        <v>19211.920000000002</v>
      </c>
    </row>
    <row r="59" spans="1:13" ht="12.75" customHeight="1" x14ac:dyDescent="0.25">
      <c r="A59" s="203" t="s">
        <v>37</v>
      </c>
      <c r="B59" s="203"/>
      <c r="C59" s="204"/>
      <c r="D59" s="1"/>
      <c r="E59" s="272">
        <v>0.03</v>
      </c>
      <c r="F59" s="296">
        <v>0.03</v>
      </c>
      <c r="G59" s="1"/>
      <c r="H59" s="205">
        <v>4</v>
      </c>
      <c r="I59" s="397">
        <f t="shared" si="0"/>
        <v>7204.4699999999993</v>
      </c>
    </row>
    <row r="60" spans="1:13" ht="12.75" customHeight="1" x14ac:dyDescent="0.25">
      <c r="A60" s="203" t="s">
        <v>38</v>
      </c>
      <c r="B60" s="203"/>
      <c r="C60" s="204"/>
      <c r="D60" s="1"/>
      <c r="E60" s="272">
        <v>0.17</v>
      </c>
      <c r="F60" s="296">
        <v>0.17</v>
      </c>
      <c r="G60" s="1"/>
      <c r="H60" s="205">
        <v>5</v>
      </c>
      <c r="I60" s="397">
        <f t="shared" si="0"/>
        <v>40825.33</v>
      </c>
    </row>
    <row r="61" spans="1:13" ht="12.75" customHeight="1" x14ac:dyDescent="0.25">
      <c r="A61" s="203" t="s">
        <v>39</v>
      </c>
      <c r="B61" s="203"/>
      <c r="C61" s="204"/>
      <c r="D61" s="1"/>
      <c r="E61" s="272">
        <v>0.08</v>
      </c>
      <c r="F61" s="296">
        <v>0.08</v>
      </c>
      <c r="G61" s="1"/>
      <c r="H61" s="205">
        <v>6</v>
      </c>
      <c r="I61" s="397">
        <f t="shared" si="0"/>
        <v>19211.920000000002</v>
      </c>
    </row>
    <row r="62" spans="1:13" ht="12.75" customHeight="1" x14ac:dyDescent="0.25">
      <c r="A62" s="203" t="s">
        <v>40</v>
      </c>
      <c r="B62" s="203"/>
      <c r="C62" s="204"/>
      <c r="D62" s="1"/>
      <c r="E62" s="272">
        <v>0.02</v>
      </c>
      <c r="F62" s="296">
        <v>0.02</v>
      </c>
      <c r="G62" s="1"/>
      <c r="H62" s="205"/>
      <c r="I62" s="397">
        <f t="shared" si="0"/>
        <v>4802.9800000000005</v>
      </c>
      <c r="K62" s="43"/>
      <c r="L62" s="43"/>
      <c r="M62" s="43"/>
    </row>
    <row r="63" spans="1:13" ht="12.75" customHeight="1" x14ac:dyDescent="0.25">
      <c r="A63" s="203" t="s">
        <v>41</v>
      </c>
      <c r="B63" s="203"/>
      <c r="C63" s="204"/>
      <c r="D63" s="1"/>
      <c r="E63" s="272">
        <v>0.03</v>
      </c>
      <c r="F63" s="296">
        <v>0.03</v>
      </c>
      <c r="G63" s="1"/>
      <c r="H63" s="205">
        <v>7</v>
      </c>
      <c r="I63" s="397">
        <f t="shared" si="0"/>
        <v>7204.4699999999993</v>
      </c>
      <c r="K63" s="43"/>
      <c r="L63" s="43"/>
      <c r="M63" s="43"/>
    </row>
    <row r="64" spans="1:13" ht="12.75" customHeight="1" x14ac:dyDescent="0.25">
      <c r="A64" s="186" t="s">
        <v>42</v>
      </c>
      <c r="B64" s="186"/>
      <c r="C64" s="204"/>
      <c r="D64" s="1"/>
      <c r="E64" s="272">
        <v>0.3</v>
      </c>
      <c r="F64" s="296">
        <v>0.3</v>
      </c>
      <c r="G64" s="1"/>
      <c r="H64" s="205">
        <v>8</v>
      </c>
      <c r="I64" s="397">
        <f t="shared" si="0"/>
        <v>72044.7</v>
      </c>
      <c r="K64" s="43"/>
      <c r="L64" s="43"/>
      <c r="M64" s="43"/>
    </row>
    <row r="65" spans="1:13" ht="12.75" customHeight="1" x14ac:dyDescent="0.25">
      <c r="A65" s="277" t="s">
        <v>43</v>
      </c>
      <c r="B65" s="277"/>
      <c r="C65" s="278"/>
      <c r="D65" s="1"/>
      <c r="E65" s="276">
        <v>0.03</v>
      </c>
      <c r="F65" s="296">
        <v>0.03</v>
      </c>
      <c r="G65" s="1"/>
      <c r="H65" s="279">
        <v>9</v>
      </c>
      <c r="I65" s="397">
        <f t="shared" si="0"/>
        <v>7204.4699999999993</v>
      </c>
      <c r="K65" s="43"/>
      <c r="L65" s="43"/>
      <c r="M65" s="43"/>
    </row>
    <row r="66" spans="1:13" s="286" customFormat="1" ht="12.75" customHeight="1" x14ac:dyDescent="0.25">
      <c r="A66" s="386" t="s">
        <v>129</v>
      </c>
      <c r="B66" s="386"/>
      <c r="C66" s="387"/>
      <c r="E66" s="388"/>
      <c r="F66" s="394">
        <v>0</v>
      </c>
      <c r="H66" s="389"/>
      <c r="I66" s="405">
        <f>IF($F$49=0,"-",$F$52*F66)</f>
        <v>0</v>
      </c>
      <c r="J66" s="284"/>
      <c r="K66" s="285"/>
      <c r="L66" s="285"/>
      <c r="M66" s="285"/>
    </row>
    <row r="67" spans="1:13" s="286" customFormat="1" ht="12.75" customHeight="1" x14ac:dyDescent="0.25">
      <c r="A67" s="386" t="s">
        <v>129</v>
      </c>
      <c r="B67" s="386"/>
      <c r="C67" s="387"/>
      <c r="E67" s="388"/>
      <c r="F67" s="394">
        <v>0</v>
      </c>
      <c r="H67" s="389"/>
      <c r="I67" s="405">
        <f>IF($F$49=0,"-",$F$52*F67)</f>
        <v>0</v>
      </c>
      <c r="J67" s="284"/>
      <c r="K67" s="285"/>
      <c r="L67" s="285"/>
      <c r="M67" s="285"/>
    </row>
    <row r="68" spans="1:13" s="286" customFormat="1" ht="12.75" customHeight="1" x14ac:dyDescent="0.25">
      <c r="A68" s="280" t="s">
        <v>129</v>
      </c>
      <c r="B68" s="280"/>
      <c r="C68" s="281"/>
      <c r="D68" s="282"/>
      <c r="E68" s="283"/>
      <c r="F68" s="395">
        <v>0</v>
      </c>
      <c r="G68" s="282"/>
      <c r="H68" s="297"/>
      <c r="I68" s="399">
        <f t="shared" si="0"/>
        <v>0</v>
      </c>
      <c r="J68" s="284"/>
      <c r="K68" s="285"/>
      <c r="L68" s="285"/>
      <c r="M68" s="285"/>
    </row>
    <row r="69" spans="1:13" ht="12.75" customHeight="1" x14ac:dyDescent="0.25">
      <c r="A69" s="206" t="s">
        <v>146</v>
      </c>
      <c r="B69" s="186"/>
      <c r="C69" s="27"/>
      <c r="D69" s="1"/>
      <c r="E69" s="273">
        <f>SUM(E56:E68)</f>
        <v>1</v>
      </c>
      <c r="F69" s="207">
        <f>SUM(F56:F68)</f>
        <v>1</v>
      </c>
      <c r="H69" s="207"/>
      <c r="I69" s="397">
        <f>SUM(I56:I68)</f>
        <v>240149.00000000003</v>
      </c>
      <c r="K69" s="43"/>
      <c r="L69" s="43"/>
      <c r="M69" s="43"/>
    </row>
    <row r="70" spans="1:13" ht="12.75" customHeight="1" x14ac:dyDescent="0.25">
      <c r="I70" s="181"/>
      <c r="K70" s="43"/>
      <c r="L70" s="43"/>
      <c r="M70" s="43"/>
    </row>
    <row r="71" spans="1:13" s="138" customFormat="1" ht="12.95" customHeight="1" x14ac:dyDescent="0.25">
      <c r="A71" s="275" t="s">
        <v>137</v>
      </c>
      <c r="B71" s="275"/>
      <c r="C71" s="275"/>
      <c r="D71" s="275"/>
      <c r="E71" s="275"/>
      <c r="F71" s="275"/>
      <c r="G71" s="275"/>
      <c r="H71" s="275"/>
      <c r="I71" s="275"/>
      <c r="J71" s="142"/>
      <c r="K71" s="3"/>
    </row>
    <row r="72" spans="1:13" s="11" customFormat="1" ht="4.5" customHeight="1" x14ac:dyDescent="0.25">
      <c r="I72" s="2"/>
      <c r="J72" s="2"/>
    </row>
    <row r="73" spans="1:13" ht="12.75" customHeight="1" x14ac:dyDescent="0.3">
      <c r="A73" s="294" t="s">
        <v>33</v>
      </c>
      <c r="E73" s="299"/>
      <c r="F73" s="300"/>
      <c r="G73" s="510"/>
      <c r="H73" s="511"/>
      <c r="I73" s="164">
        <f>I69</f>
        <v>240149.00000000003</v>
      </c>
      <c r="K73" s="43"/>
      <c r="L73" s="43"/>
      <c r="M73" s="43"/>
    </row>
    <row r="74" spans="1:13" ht="12.75" customHeight="1" x14ac:dyDescent="0.25">
      <c r="A74" s="47" t="s">
        <v>80</v>
      </c>
      <c r="F74" s="301">
        <v>0</v>
      </c>
      <c r="G74" s="512">
        <v>100</v>
      </c>
      <c r="H74" s="513"/>
      <c r="I74" s="164">
        <f>F74*G74</f>
        <v>0</v>
      </c>
      <c r="K74" s="43"/>
      <c r="L74" s="43"/>
      <c r="M74" s="43"/>
    </row>
    <row r="75" spans="1:13" s="11" customFormat="1" ht="4.5" customHeight="1" x14ac:dyDescent="0.25">
      <c r="I75" s="2"/>
      <c r="J75" s="2"/>
    </row>
    <row r="76" spans="1:13" s="31" customFormat="1" ht="12.75" x14ac:dyDescent="0.2">
      <c r="A76" s="122" t="s">
        <v>161</v>
      </c>
      <c r="B76" s="123"/>
      <c r="C76" s="124"/>
      <c r="D76" s="124"/>
      <c r="E76" s="126"/>
      <c r="F76" s="125"/>
      <c r="G76" s="125"/>
      <c r="H76" s="125"/>
      <c r="I76" s="160">
        <f>I73+I74</f>
        <v>240149.00000000003</v>
      </c>
      <c r="J76" s="35"/>
      <c r="K76" s="80"/>
      <c r="L76" s="81"/>
      <c r="M76" s="82"/>
    </row>
    <row r="77" spans="1:13" s="31" customFormat="1" ht="4.5" customHeight="1" x14ac:dyDescent="0.2">
      <c r="B77" s="32"/>
      <c r="C77" s="33"/>
      <c r="D77" s="33"/>
      <c r="E77" s="65"/>
      <c r="F77" s="66"/>
      <c r="G77" s="92"/>
      <c r="I77" s="161"/>
      <c r="J77" s="35"/>
      <c r="K77" s="35"/>
      <c r="L77" s="83"/>
      <c r="M77" s="84"/>
    </row>
    <row r="78" spans="1:13" s="31" customFormat="1" ht="12.75" x14ac:dyDescent="0.2">
      <c r="A78" s="67" t="s">
        <v>13</v>
      </c>
      <c r="B78" s="32"/>
      <c r="C78" s="33"/>
      <c r="D78" s="33"/>
      <c r="E78" s="75"/>
      <c r="F78" s="229">
        <v>0.04</v>
      </c>
      <c r="G78" s="93"/>
      <c r="H78" s="36"/>
      <c r="I78" s="162">
        <f>IF(F45=0,"-",ROUND(I76*F78,2))</f>
        <v>9605.9599999999991</v>
      </c>
      <c r="J78" s="35"/>
      <c r="K78" s="85"/>
      <c r="L78" s="83"/>
      <c r="M78" s="84"/>
    </row>
    <row r="79" spans="1:13" s="31" customFormat="1" ht="3" customHeight="1" x14ac:dyDescent="0.2">
      <c r="A79" s="68"/>
      <c r="B79" s="69"/>
      <c r="C79" s="70"/>
      <c r="D79" s="70"/>
      <c r="E79" s="76"/>
      <c r="F79" s="230"/>
      <c r="G79" s="94"/>
      <c r="H79" s="68"/>
      <c r="I79" s="163"/>
      <c r="J79" s="35"/>
      <c r="K79" s="35"/>
      <c r="L79" s="83"/>
      <c r="M79" s="84"/>
    </row>
    <row r="80" spans="1:13" s="31" customFormat="1" ht="3" customHeight="1" x14ac:dyDescent="0.2">
      <c r="B80" s="32"/>
      <c r="C80" s="33"/>
      <c r="D80" s="33"/>
      <c r="E80" s="78"/>
      <c r="F80" s="231"/>
      <c r="G80" s="95"/>
      <c r="H80" s="79"/>
      <c r="I80" s="161"/>
      <c r="J80" s="35"/>
      <c r="K80" s="35"/>
      <c r="L80" s="83"/>
      <c r="M80" s="84"/>
    </row>
    <row r="81" spans="1:13" s="31" customFormat="1" ht="3" customHeight="1" x14ac:dyDescent="0.2">
      <c r="A81" s="36"/>
      <c r="B81" s="222"/>
      <c r="C81" s="77"/>
      <c r="D81" s="77"/>
      <c r="E81" s="71"/>
      <c r="F81" s="66"/>
      <c r="G81" s="92"/>
      <c r="I81" s="166"/>
      <c r="J81" s="35"/>
      <c r="K81" s="35"/>
      <c r="L81" s="83"/>
      <c r="M81" s="84"/>
    </row>
    <row r="82" spans="1:13" s="31" customFormat="1" ht="12.75" x14ac:dyDescent="0.2">
      <c r="A82" s="122" t="s">
        <v>162</v>
      </c>
      <c r="B82" s="123"/>
      <c r="C82" s="124"/>
      <c r="D82" s="124"/>
      <c r="E82" s="126"/>
      <c r="F82" s="125"/>
      <c r="G82" s="125"/>
      <c r="H82" s="125"/>
      <c r="I82" s="160">
        <f>SUM(I76:I80)</f>
        <v>249754.96000000002</v>
      </c>
      <c r="J82" s="35"/>
      <c r="K82" s="80"/>
      <c r="L82" s="81"/>
      <c r="M82" s="82"/>
    </row>
    <row r="83" spans="1:13" s="31" customFormat="1" ht="4.5" customHeight="1" x14ac:dyDescent="0.2">
      <c r="B83" s="32"/>
      <c r="C83" s="33"/>
      <c r="D83" s="33"/>
      <c r="E83" s="65"/>
      <c r="F83" s="66"/>
      <c r="G83" s="92"/>
      <c r="I83" s="161"/>
      <c r="J83" s="35"/>
      <c r="K83" s="35"/>
      <c r="L83" s="83"/>
      <c r="M83" s="84"/>
    </row>
    <row r="84" spans="1:13" s="31" customFormat="1" ht="12.75" x14ac:dyDescent="0.2">
      <c r="A84" s="67" t="s">
        <v>115</v>
      </c>
      <c r="B84" s="32"/>
      <c r="C84" s="33"/>
      <c r="D84" s="33"/>
      <c r="E84" s="75"/>
      <c r="F84" s="229">
        <v>0</v>
      </c>
      <c r="G84" s="93"/>
      <c r="H84" s="36"/>
      <c r="I84" s="162">
        <f>IF(F49=0,"-",ROUND(I82*F84,2))</f>
        <v>0</v>
      </c>
      <c r="J84" s="35"/>
      <c r="K84" s="85"/>
      <c r="L84" s="83"/>
      <c r="M84" s="84"/>
    </row>
    <row r="85" spans="1:13" s="31" customFormat="1" ht="3" customHeight="1" x14ac:dyDescent="0.2">
      <c r="A85" s="68"/>
      <c r="B85" s="69"/>
      <c r="C85" s="70"/>
      <c r="D85" s="70"/>
      <c r="E85" s="76"/>
      <c r="F85" s="230"/>
      <c r="G85" s="94"/>
      <c r="H85" s="68"/>
      <c r="I85" s="163"/>
      <c r="J85" s="35"/>
      <c r="K85" s="35"/>
      <c r="L85" s="83"/>
      <c r="M85" s="84"/>
    </row>
    <row r="86" spans="1:13" s="31" customFormat="1" ht="3" customHeight="1" x14ac:dyDescent="0.2">
      <c r="B86" s="32"/>
      <c r="C86" s="33"/>
      <c r="D86" s="33"/>
      <c r="E86" s="78"/>
      <c r="F86" s="231"/>
      <c r="G86" s="95"/>
      <c r="H86" s="79"/>
      <c r="I86" s="161"/>
      <c r="J86" s="35"/>
      <c r="K86" s="35"/>
      <c r="L86" s="83"/>
      <c r="M86" s="84"/>
    </row>
    <row r="87" spans="1:13" s="31" customFormat="1" ht="12.75" x14ac:dyDescent="0.2">
      <c r="A87" s="122" t="s">
        <v>163</v>
      </c>
      <c r="B87" s="123"/>
      <c r="C87" s="124"/>
      <c r="D87" s="124"/>
      <c r="E87" s="126"/>
      <c r="F87" s="125"/>
      <c r="G87" s="125"/>
      <c r="H87" s="125"/>
      <c r="I87" s="160">
        <f>I82+I84</f>
        <v>249754.96000000002</v>
      </c>
      <c r="J87" s="35"/>
      <c r="K87" s="80"/>
      <c r="L87" s="81"/>
      <c r="M87" s="82"/>
    </row>
    <row r="88" spans="1:13" s="152" customFormat="1" ht="4.5" customHeight="1" x14ac:dyDescent="0.2">
      <c r="A88" s="72"/>
      <c r="B88" s="73"/>
      <c r="C88" s="74"/>
      <c r="D88" s="74"/>
      <c r="E88" s="412"/>
      <c r="I88" s="164"/>
      <c r="J88" s="35"/>
      <c r="K88" s="80"/>
      <c r="L88" s="81"/>
      <c r="M88" s="82"/>
    </row>
    <row r="89" spans="1:13" s="31" customFormat="1" ht="12.75" x14ac:dyDescent="0.2">
      <c r="A89" s="31" t="s">
        <v>14</v>
      </c>
      <c r="B89" s="32"/>
      <c r="D89" s="33"/>
      <c r="E89" s="71"/>
      <c r="F89" s="37">
        <v>0.2</v>
      </c>
      <c r="G89" s="37"/>
      <c r="I89" s="165">
        <f>IF(F49=0,"-",ROUND(I87*F89,2))</f>
        <v>49950.99</v>
      </c>
      <c r="J89" s="35"/>
      <c r="K89" s="35"/>
      <c r="L89" s="83"/>
      <c r="M89" s="89"/>
    </row>
    <row r="90" spans="1:13" s="31" customFormat="1" ht="3" customHeight="1" x14ac:dyDescent="0.2">
      <c r="A90" s="36"/>
      <c r="B90" s="222"/>
      <c r="C90" s="77"/>
      <c r="D90" s="77"/>
      <c r="E90" s="71"/>
      <c r="F90" s="66"/>
      <c r="G90" s="92"/>
      <c r="I90" s="166"/>
      <c r="J90" s="35"/>
      <c r="K90" s="35"/>
      <c r="L90" s="83"/>
      <c r="M90" s="84"/>
    </row>
    <row r="91" spans="1:13" s="36" customFormat="1" ht="12.75" x14ac:dyDescent="0.2">
      <c r="A91" s="215" t="s">
        <v>164</v>
      </c>
      <c r="B91" s="223"/>
      <c r="C91" s="216"/>
      <c r="D91" s="216"/>
      <c r="E91" s="218"/>
      <c r="F91" s="219"/>
      <c r="G91" s="219"/>
      <c r="H91" s="217"/>
      <c r="I91" s="224">
        <f>SUM(I86:I89)</f>
        <v>299705.95</v>
      </c>
      <c r="J91" s="35"/>
      <c r="K91" s="86"/>
      <c r="L91" s="87"/>
      <c r="M91" s="88"/>
    </row>
    <row r="92" spans="1:13" ht="5.0999999999999996" customHeight="1" x14ac:dyDescent="0.25">
      <c r="K92" s="43"/>
      <c r="L92" s="43"/>
      <c r="M92" s="43"/>
    </row>
  </sheetData>
  <mergeCells count="25">
    <mergeCell ref="G74:H74"/>
    <mergeCell ref="G37:H37"/>
    <mergeCell ref="G38:H38"/>
    <mergeCell ref="G39:H39"/>
    <mergeCell ref="A19:B19"/>
    <mergeCell ref="G33:H33"/>
    <mergeCell ref="G36:H36"/>
    <mergeCell ref="G34:H34"/>
    <mergeCell ref="G35:H35"/>
    <mergeCell ref="G40:H40"/>
    <mergeCell ref="G41:H41"/>
    <mergeCell ref="G42:H42"/>
    <mergeCell ref="G43:H43"/>
    <mergeCell ref="G73:H73"/>
    <mergeCell ref="A17:B17"/>
    <mergeCell ref="A23:B23"/>
    <mergeCell ref="A21:B21"/>
    <mergeCell ref="G31:H31"/>
    <mergeCell ref="G32:H32"/>
    <mergeCell ref="H2:I2"/>
    <mergeCell ref="A13:B13"/>
    <mergeCell ref="A15:B15"/>
    <mergeCell ref="A11:B11"/>
    <mergeCell ref="A7:B7"/>
    <mergeCell ref="A9:B9"/>
  </mergeCells>
  <pageMargins left="0.59055118110236227" right="0.39370078740157483" top="0.55118110236220474" bottom="0.78740157480314965" header="0.31496062992125984" footer="0.31496062992125984"/>
  <pageSetup paperSize="9" scale="71" pageOrder="overThenDown" orientation="portrait" r:id="rId1"/>
  <headerFooter>
    <oddFooter>&amp;L&amp;"Arial,Fett"&amp;10&amp;K01+026Kostenrahmen Gesamtabwicklung &amp;C&amp;"Arial,Standard"&amp;10&amp;K4D4D4DErstellt am: 25.02.16; Gedruckt am: &amp;D&amp;R&amp;"Arial,Standard"&amp;10&amp;K01+026Seite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tabColor rgb="FFFFFF00"/>
  </sheetPr>
  <dimension ref="A1:O100"/>
  <sheetViews>
    <sheetView showGridLines="0" view="pageLayout" topLeftCell="A46" zoomScale="70" zoomScaleNormal="85" zoomScaleSheetLayoutView="100" zoomScalePageLayoutView="70" workbookViewId="0">
      <selection activeCell="K36" sqref="K36"/>
    </sheetView>
  </sheetViews>
  <sheetFormatPr baseColWidth="10" defaultColWidth="11.5703125" defaultRowHeight="15" x14ac:dyDescent="0.25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1" customWidth="1"/>
    <col min="6" max="6" width="14.7109375" style="41" customWidth="1"/>
    <col min="7" max="7" width="2.7109375" style="8" customWidth="1"/>
    <col min="8" max="8" width="11.28515625" style="41" customWidth="1"/>
    <col min="9" max="9" width="14.7109375" style="41" customWidth="1"/>
    <col min="10" max="10" width="2.7109375" style="1" customWidth="1"/>
    <col min="11" max="11" width="22.7109375" customWidth="1"/>
    <col min="12" max="12" width="5.7109375" style="366" customWidth="1"/>
    <col min="13" max="13" width="25.7109375" style="366" customWidth="1"/>
    <col min="15" max="16384" width="11.5703125" style="1"/>
  </cols>
  <sheetData>
    <row r="1" spans="1:14" ht="5.0999999999999996" customHeight="1" x14ac:dyDescent="0.2">
      <c r="F1" s="8"/>
      <c r="G1" s="41"/>
      <c r="H1" s="9"/>
      <c r="I1" s="10"/>
      <c r="J1" s="18"/>
      <c r="K1" s="1"/>
      <c r="L1" s="1"/>
      <c r="M1" s="1"/>
      <c r="N1" s="1"/>
    </row>
    <row r="2" spans="1:14" s="53" customFormat="1" ht="35.1" customHeight="1" x14ac:dyDescent="0.2">
      <c r="A2" s="133"/>
      <c r="C2" s="13"/>
      <c r="D2" s="102"/>
      <c r="F2" s="518" t="s">
        <v>201</v>
      </c>
      <c r="G2" s="518"/>
      <c r="H2" s="518"/>
      <c r="I2" s="518"/>
      <c r="J2" s="61"/>
    </row>
    <row r="3" spans="1:14" s="138" customFormat="1" ht="12.95" customHeight="1" x14ac:dyDescent="0.25">
      <c r="A3" s="380" t="s">
        <v>77</v>
      </c>
      <c r="B3" s="380"/>
      <c r="C3" s="380"/>
      <c r="D3" s="380"/>
      <c r="E3" s="380"/>
      <c r="F3" s="380"/>
      <c r="G3" s="380"/>
      <c r="H3" s="380"/>
      <c r="I3" s="380"/>
      <c r="J3" s="142"/>
    </row>
    <row r="4" spans="1:14" s="11" customFormat="1" ht="6" customHeight="1" x14ac:dyDescent="0.25">
      <c r="I4" s="2"/>
      <c r="J4" s="2"/>
    </row>
    <row r="5" spans="1:14" s="11" customFormat="1" ht="12.95" customHeight="1" x14ac:dyDescent="0.25">
      <c r="E5" s="99" t="s">
        <v>62</v>
      </c>
      <c r="F5" s="44" t="s">
        <v>49</v>
      </c>
      <c r="G5" s="44"/>
      <c r="H5" s="16" t="s">
        <v>15</v>
      </c>
      <c r="I5" s="114" t="s">
        <v>50</v>
      </c>
      <c r="J5" s="44"/>
    </row>
    <row r="6" spans="1:14" s="11" customFormat="1" ht="6" customHeight="1" x14ac:dyDescent="0.25">
      <c r="F6" s="97"/>
      <c r="I6" s="2"/>
      <c r="J6" s="2"/>
    </row>
    <row r="7" spans="1:14" s="12" customFormat="1" ht="12.95" customHeight="1" x14ac:dyDescent="0.2">
      <c r="A7" s="503">
        <v>1</v>
      </c>
      <c r="B7" s="503"/>
      <c r="C7" s="105"/>
      <c r="D7" s="106" t="s">
        <v>0</v>
      </c>
      <c r="E7" s="326">
        <f>F7/_1_9</f>
        <v>2.4435811028050126E-3</v>
      </c>
      <c r="F7" s="327">
        <f>_1</f>
        <v>70000</v>
      </c>
      <c r="G7" s="103"/>
      <c r="H7" s="131">
        <v>0</v>
      </c>
      <c r="I7" s="327">
        <f>F7*H7</f>
        <v>0</v>
      </c>
      <c r="J7" s="49"/>
    </row>
    <row r="8" spans="1:14" ht="2.25" customHeight="1" x14ac:dyDescent="0.2">
      <c r="B8" s="4"/>
      <c r="C8" s="6"/>
      <c r="D8" s="1"/>
      <c r="E8" s="154"/>
      <c r="F8" s="167"/>
      <c r="G8" s="1"/>
      <c r="H8" s="421"/>
      <c r="I8" s="167"/>
      <c r="J8" s="62"/>
      <c r="K8" s="1"/>
      <c r="L8" s="1"/>
      <c r="M8" s="1"/>
      <c r="N8" s="1"/>
    </row>
    <row r="9" spans="1:14" s="12" customFormat="1" ht="12.75" customHeight="1" x14ac:dyDescent="0.2">
      <c r="A9" s="503">
        <v>2</v>
      </c>
      <c r="B9" s="503"/>
      <c r="C9" s="105"/>
      <c r="D9" s="106" t="s">
        <v>1</v>
      </c>
      <c r="E9" s="326">
        <f>F9/_1_9</f>
        <v>0.31417471321778734</v>
      </c>
      <c r="F9" s="327">
        <f>_2</f>
        <v>9000000</v>
      </c>
      <c r="G9" s="103"/>
      <c r="H9" s="131">
        <v>1</v>
      </c>
      <c r="I9" s="327">
        <f>F9*H9</f>
        <v>9000000</v>
      </c>
      <c r="J9" s="49"/>
    </row>
    <row r="10" spans="1:14" ht="2.25" customHeight="1" x14ac:dyDescent="0.2">
      <c r="B10" s="13"/>
      <c r="C10" s="13"/>
      <c r="D10" s="14"/>
      <c r="E10" s="154"/>
      <c r="F10" s="168"/>
      <c r="G10" s="1"/>
      <c r="H10" s="421"/>
      <c r="I10" s="168"/>
      <c r="J10" s="49"/>
      <c r="K10" s="1"/>
      <c r="L10" s="1"/>
      <c r="M10" s="1"/>
      <c r="N10" s="1"/>
    </row>
    <row r="11" spans="1:14" s="11" customFormat="1" ht="12.95" customHeight="1" x14ac:dyDescent="0.2">
      <c r="A11" s="503">
        <v>3</v>
      </c>
      <c r="B11" s="503"/>
      <c r="C11" s="105"/>
      <c r="D11" s="106" t="s">
        <v>7</v>
      </c>
      <c r="E11" s="515">
        <f>F11/_1_9</f>
        <v>0.28275724189600859</v>
      </c>
      <c r="F11" s="517">
        <f>_3</f>
        <v>8100000</v>
      </c>
      <c r="G11" s="103"/>
      <c r="H11" s="131">
        <v>1</v>
      </c>
      <c r="I11" s="451">
        <f>IF(_3&gt;(_2+_4)*0.5,(_2+_4)*0.5,_3)</f>
        <v>7750000</v>
      </c>
      <c r="J11" s="49"/>
      <c r="K11" s="514" t="s">
        <v>197</v>
      </c>
      <c r="L11" s="514"/>
      <c r="M11" s="450">
        <f>(_2+_4)*0.5</f>
        <v>7750000</v>
      </c>
      <c r="N11" s="11" t="s">
        <v>207</v>
      </c>
    </row>
    <row r="12" spans="1:14" s="11" customFormat="1" ht="12.95" customHeight="1" x14ac:dyDescent="0.2">
      <c r="A12" s="503"/>
      <c r="B12" s="503"/>
      <c r="C12" s="105"/>
      <c r="D12" s="106" t="s">
        <v>132</v>
      </c>
      <c r="E12" s="516"/>
      <c r="F12" s="517"/>
      <c r="H12" s="400">
        <f>IF(_3&gt;(_2+_4)*0.5,50%,0)</f>
        <v>0.5</v>
      </c>
      <c r="I12" s="327">
        <f>IF(_3&gt;(_2+_4)*0.5,(F11-I11)*H12,0)</f>
        <v>175000</v>
      </c>
      <c r="J12" s="408"/>
      <c r="K12" s="514"/>
      <c r="L12" s="514"/>
      <c r="M12" s="495">
        <f>IF(F11-M11&lt;0, "keine Abminderung",F11-M11)</f>
        <v>350000</v>
      </c>
      <c r="N12" s="11" t="s">
        <v>208</v>
      </c>
    </row>
    <row r="13" spans="1:14" ht="2.25" customHeight="1" x14ac:dyDescent="0.2">
      <c r="B13" s="13"/>
      <c r="C13" s="13"/>
      <c r="D13" s="14"/>
      <c r="E13" s="154"/>
      <c r="F13" s="151"/>
      <c r="G13" s="1"/>
      <c r="H13" s="420"/>
      <c r="I13" s="151"/>
      <c r="J13" s="48"/>
      <c r="K13" s="514"/>
      <c r="L13" s="514"/>
      <c r="M13" s="1"/>
      <c r="N13" s="1"/>
    </row>
    <row r="14" spans="1:14" s="11" customFormat="1" ht="12.75" customHeight="1" x14ac:dyDescent="0.2">
      <c r="A14" s="503">
        <v>4</v>
      </c>
      <c r="B14" s="503"/>
      <c r="C14" s="105"/>
      <c r="D14" s="106" t="s">
        <v>2</v>
      </c>
      <c r="E14" s="326">
        <f>F14/_1_9</f>
        <v>0.22690395954617973</v>
      </c>
      <c r="F14" s="327">
        <f>_4</f>
        <v>6500000</v>
      </c>
      <c r="G14" s="103"/>
      <c r="H14" s="131">
        <v>1</v>
      </c>
      <c r="I14" s="327">
        <f>F14*H14</f>
        <v>6500000</v>
      </c>
      <c r="J14" s="49"/>
      <c r="K14" s="514"/>
      <c r="L14" s="514"/>
      <c r="M14" s="449">
        <f>M12/2</f>
        <v>175000</v>
      </c>
      <c r="N14" s="11" t="s">
        <v>209</v>
      </c>
    </row>
    <row r="15" spans="1:14" ht="2.25" customHeight="1" x14ac:dyDescent="0.2">
      <c r="B15" s="4"/>
      <c r="C15" s="6"/>
      <c r="D15" s="1"/>
      <c r="E15" s="154"/>
      <c r="F15" s="151"/>
      <c r="G15" s="1"/>
      <c r="H15" s="422"/>
      <c r="I15" s="151"/>
      <c r="J15" s="47"/>
      <c r="K15" s="514"/>
      <c r="L15" s="514"/>
      <c r="M15" s="1"/>
      <c r="N15" s="1"/>
    </row>
    <row r="16" spans="1:14" s="12" customFormat="1" ht="12.95" customHeight="1" x14ac:dyDescent="0.2">
      <c r="A16" s="503">
        <v>5</v>
      </c>
      <c r="B16" s="503"/>
      <c r="C16" s="105"/>
      <c r="D16" s="106" t="s">
        <v>9</v>
      </c>
      <c r="E16" s="326">
        <f>F16/_1_9</f>
        <v>5.7598697423261007E-2</v>
      </c>
      <c r="F16" s="327">
        <f>_5</f>
        <v>1650000</v>
      </c>
      <c r="G16" s="103"/>
      <c r="H16" s="131">
        <v>1</v>
      </c>
      <c r="I16" s="173">
        <f>H16*F16</f>
        <v>1650000</v>
      </c>
      <c r="J16" s="49"/>
      <c r="K16" s="514"/>
      <c r="L16" s="514"/>
    </row>
    <row r="17" spans="1:14" ht="2.25" customHeight="1" x14ac:dyDescent="0.2">
      <c r="B17" s="13"/>
      <c r="C17" s="13"/>
      <c r="D17" s="14"/>
      <c r="E17" s="154"/>
      <c r="F17" s="168"/>
      <c r="G17" s="1"/>
      <c r="H17" s="421"/>
      <c r="I17" s="168"/>
      <c r="J17" s="49"/>
      <c r="K17" s="1"/>
      <c r="L17" s="1"/>
      <c r="M17" s="1"/>
      <c r="N17" s="1"/>
    </row>
    <row r="18" spans="1:14" s="11" customFormat="1" ht="12.75" customHeight="1" x14ac:dyDescent="0.2">
      <c r="A18" s="503">
        <v>6</v>
      </c>
      <c r="B18" s="503"/>
      <c r="C18" s="105"/>
      <c r="D18" s="106" t="s">
        <v>3</v>
      </c>
      <c r="E18" s="326">
        <f>F18/_1_9</f>
        <v>1.7454150734321518E-2</v>
      </c>
      <c r="F18" s="327">
        <f>_6</f>
        <v>500000</v>
      </c>
      <c r="G18" s="103"/>
      <c r="H18" s="131">
        <v>1</v>
      </c>
      <c r="I18" s="327">
        <f>F18*H18</f>
        <v>500000</v>
      </c>
      <c r="J18" s="49"/>
    </row>
    <row r="19" spans="1:14" ht="2.25" customHeight="1" x14ac:dyDescent="0.2">
      <c r="B19" s="17"/>
      <c r="C19" s="5"/>
      <c r="D19" s="1"/>
      <c r="E19" s="157"/>
      <c r="F19" s="151"/>
      <c r="G19" s="1"/>
      <c r="H19" s="422"/>
      <c r="I19" s="151"/>
      <c r="J19" s="49"/>
      <c r="K19" s="1"/>
      <c r="L19" s="1"/>
      <c r="M19" s="1"/>
      <c r="N19" s="1"/>
    </row>
    <row r="20" spans="1:14" s="12" customFormat="1" ht="12.95" customHeight="1" x14ac:dyDescent="0.2">
      <c r="A20" s="503">
        <v>7</v>
      </c>
      <c r="B20" s="503"/>
      <c r="C20" s="105"/>
      <c r="D20" s="106" t="s">
        <v>131</v>
      </c>
      <c r="E20" s="326">
        <f>F20/_1_9</f>
        <v>4.1557674876936845E-2</v>
      </c>
      <c r="F20" s="327">
        <f>_7</f>
        <v>1190481.1499999999</v>
      </c>
      <c r="G20" s="103"/>
      <c r="H20" s="131">
        <v>0</v>
      </c>
      <c r="I20" s="327">
        <f>F20*H20</f>
        <v>0</v>
      </c>
      <c r="J20" s="49"/>
    </row>
    <row r="21" spans="1:14" ht="2.25" customHeight="1" x14ac:dyDescent="0.2">
      <c r="B21" s="13"/>
      <c r="C21" s="13"/>
      <c r="D21" s="14"/>
      <c r="E21" s="157"/>
      <c r="F21" s="168"/>
      <c r="G21" s="1"/>
      <c r="H21" s="421"/>
      <c r="I21" s="168"/>
      <c r="J21" s="49"/>
      <c r="K21" s="1"/>
      <c r="L21" s="1"/>
      <c r="M21" s="1"/>
      <c r="N21" s="1"/>
    </row>
    <row r="22" spans="1:14" s="12" customFormat="1" ht="12.95" customHeight="1" x14ac:dyDescent="0.2">
      <c r="A22" s="503">
        <v>8</v>
      </c>
      <c r="B22" s="503"/>
      <c r="C22" s="105"/>
      <c r="D22" s="106" t="s">
        <v>130</v>
      </c>
      <c r="E22" s="326">
        <f>F22/_1_9</f>
        <v>1.2566988528711492E-3</v>
      </c>
      <c r="F22" s="327">
        <f>_8</f>
        <v>36000</v>
      </c>
      <c r="G22" s="103"/>
      <c r="H22" s="131">
        <v>0</v>
      </c>
      <c r="I22" s="327">
        <f>F22*H22</f>
        <v>0</v>
      </c>
      <c r="J22" s="49"/>
    </row>
    <row r="23" spans="1:14" ht="2.25" customHeight="1" x14ac:dyDescent="0.2">
      <c r="B23" s="13"/>
      <c r="C23" s="13"/>
      <c r="D23" s="14"/>
      <c r="E23" s="157"/>
      <c r="F23" s="151"/>
      <c r="G23" s="1"/>
      <c r="H23" s="420"/>
      <c r="I23" s="151"/>
      <c r="J23" s="48"/>
      <c r="K23" s="1"/>
      <c r="L23" s="1"/>
      <c r="M23" s="1"/>
      <c r="N23" s="1"/>
    </row>
    <row r="24" spans="1:14" s="12" customFormat="1" ht="12.95" customHeight="1" x14ac:dyDescent="0.2">
      <c r="A24" s="503">
        <v>9</v>
      </c>
      <c r="B24" s="503"/>
      <c r="C24" s="105"/>
      <c r="D24" s="106" t="s">
        <v>10</v>
      </c>
      <c r="E24" s="326">
        <f>F24/_1_9</f>
        <v>5.5853282349828857E-2</v>
      </c>
      <c r="F24" s="327">
        <f>_9</f>
        <v>1600000</v>
      </c>
      <c r="G24" s="103"/>
      <c r="H24" s="131">
        <v>0.2</v>
      </c>
      <c r="I24" s="327">
        <f>F24*H24</f>
        <v>320000</v>
      </c>
      <c r="J24" s="49"/>
    </row>
    <row r="25" spans="1:14" ht="12" customHeight="1" x14ac:dyDescent="0.2">
      <c r="B25" s="17"/>
      <c r="C25" s="5"/>
      <c r="D25" s="1"/>
      <c r="E25" s="46"/>
      <c r="F25" s="1"/>
      <c r="G25" s="1"/>
      <c r="H25" s="1"/>
      <c r="I25" s="1"/>
      <c r="K25" s="1"/>
      <c r="L25" s="1"/>
      <c r="M25" s="1"/>
      <c r="N25" s="1"/>
    </row>
    <row r="26" spans="1:14" s="137" customFormat="1" ht="12.95" customHeight="1" x14ac:dyDescent="0.25">
      <c r="A26" s="362" t="s">
        <v>12</v>
      </c>
      <c r="B26" s="363"/>
      <c r="C26" s="363"/>
      <c r="D26" s="363"/>
      <c r="E26" s="143">
        <f>SUM(E7:E24)</f>
        <v>1</v>
      </c>
      <c r="F26" s="141">
        <f>SUM(F7+F9+F11+F14+F16+F18+F20+F22+F24)</f>
        <v>28646481.149999999</v>
      </c>
      <c r="G26" s="144"/>
      <c r="H26" s="184"/>
      <c r="I26" s="141">
        <f>SUM(I7:I24)</f>
        <v>25895000</v>
      </c>
      <c r="J26" s="3"/>
    </row>
    <row r="27" spans="1:14" ht="4.5" customHeight="1" x14ac:dyDescent="0.25">
      <c r="B27" s="13"/>
      <c r="C27" s="13"/>
      <c r="D27" s="14"/>
      <c r="E27" s="46"/>
      <c r="F27" s="14"/>
      <c r="G27" s="1"/>
      <c r="H27" s="19"/>
      <c r="I27" s="15"/>
      <c r="J27" s="18"/>
      <c r="K27" s="29"/>
      <c r="L27" s="367"/>
      <c r="N27" s="1"/>
    </row>
    <row r="28" spans="1:14" s="11" customFormat="1" ht="12.95" customHeight="1" x14ac:dyDescent="0.2">
      <c r="A28" s="503"/>
      <c r="B28" s="503"/>
      <c r="C28" s="105" t="s">
        <v>206</v>
      </c>
      <c r="D28" s="106"/>
      <c r="E28" s="484"/>
      <c r="F28" s="327">
        <f>_mvB</f>
        <v>110000</v>
      </c>
      <c r="G28" s="103"/>
      <c r="H28" s="131">
        <v>1</v>
      </c>
      <c r="I28" s="327">
        <f>F28*H28</f>
        <v>110000</v>
      </c>
      <c r="J28" s="49"/>
    </row>
    <row r="29" spans="1:14" ht="4.5" customHeight="1" x14ac:dyDescent="0.2">
      <c r="B29" s="13"/>
      <c r="C29" s="13"/>
      <c r="D29" s="14"/>
      <c r="E29" s="46"/>
      <c r="F29" s="14"/>
      <c r="G29" s="1"/>
      <c r="H29" s="19"/>
      <c r="I29" s="15"/>
      <c r="J29" s="18"/>
      <c r="K29" s="1"/>
      <c r="L29" s="1"/>
      <c r="M29" s="1"/>
      <c r="N29" s="1"/>
    </row>
    <row r="30" spans="1:14" s="138" customFormat="1" ht="12.95" customHeight="1" x14ac:dyDescent="0.25">
      <c r="A30" s="304" t="s">
        <v>31</v>
      </c>
      <c r="B30" s="363"/>
      <c r="C30" s="363"/>
      <c r="D30" s="363"/>
      <c r="E30" s="363"/>
      <c r="F30" s="363"/>
      <c r="G30" s="363"/>
      <c r="H30" s="303"/>
      <c r="I30" s="141">
        <f>SUM(I26:I28)</f>
        <v>26005000</v>
      </c>
      <c r="J30" s="142"/>
    </row>
    <row r="31" spans="1:14" ht="13.5" customHeight="1" x14ac:dyDescent="0.25">
      <c r="A31" s="186"/>
      <c r="B31" s="186"/>
      <c r="C31" s="186"/>
      <c r="D31" s="203"/>
      <c r="E31" s="208"/>
      <c r="F31" s="208"/>
      <c r="G31" s="203"/>
      <c r="H31" s="208"/>
      <c r="I31" s="208"/>
      <c r="J31" s="201"/>
    </row>
    <row r="32" spans="1:14" s="138" customFormat="1" ht="12.95" customHeight="1" x14ac:dyDescent="0.25">
      <c r="A32" s="380" t="s">
        <v>63</v>
      </c>
      <c r="B32" s="380"/>
      <c r="C32" s="380"/>
      <c r="D32" s="380"/>
      <c r="E32" s="380"/>
      <c r="F32" s="380"/>
      <c r="G32" s="380"/>
      <c r="H32" s="380"/>
      <c r="I32" s="380"/>
      <c r="J32" s="142"/>
    </row>
    <row r="33" spans="1:14" s="11" customFormat="1" ht="4.5" customHeight="1" x14ac:dyDescent="0.25">
      <c r="I33" s="2"/>
      <c r="J33" s="2"/>
    </row>
    <row r="34" spans="1:14" ht="12.75" customHeight="1" x14ac:dyDescent="0.25">
      <c r="A34" s="24"/>
      <c r="B34" s="24"/>
      <c r="C34" s="24"/>
      <c r="D34" s="1"/>
      <c r="E34" s="1"/>
      <c r="F34" s="190" t="s">
        <v>5</v>
      </c>
      <c r="H34" s="191" t="s">
        <v>4</v>
      </c>
      <c r="J34" s="406"/>
    </row>
    <row r="35" spans="1:14" ht="12.75" customHeight="1" x14ac:dyDescent="0.25">
      <c r="B35" s="25" t="s">
        <v>45</v>
      </c>
      <c r="C35" s="59"/>
      <c r="D35" s="50"/>
      <c r="E35" s="50"/>
      <c r="F35" s="146">
        <v>20</v>
      </c>
      <c r="G35" s="192"/>
      <c r="H35" s="192" t="s">
        <v>56</v>
      </c>
      <c r="J35" s="406"/>
    </row>
    <row r="36" spans="1:14" ht="12.75" customHeight="1" x14ac:dyDescent="0.25">
      <c r="B36" s="26" t="s">
        <v>46</v>
      </c>
      <c r="C36" s="60"/>
      <c r="D36" s="51"/>
      <c r="E36" s="51"/>
      <c r="F36" s="146">
        <v>2</v>
      </c>
      <c r="G36" s="193"/>
      <c r="H36" s="193" t="s">
        <v>6</v>
      </c>
      <c r="J36" s="406"/>
    </row>
    <row r="37" spans="1:14" ht="12.75" customHeight="1" x14ac:dyDescent="0.25">
      <c r="B37" s="26" t="s">
        <v>47</v>
      </c>
      <c r="C37" s="60"/>
      <c r="D37" s="51"/>
      <c r="E37" s="51"/>
      <c r="F37" s="146">
        <v>1</v>
      </c>
      <c r="G37" s="193"/>
      <c r="H37" s="193" t="s">
        <v>6</v>
      </c>
      <c r="J37" s="406"/>
    </row>
    <row r="38" spans="1:14" ht="12.75" customHeight="1" x14ac:dyDescent="0.25">
      <c r="B38" s="26" t="s">
        <v>48</v>
      </c>
      <c r="C38" s="51"/>
      <c r="D38" s="51"/>
      <c r="E38" s="51"/>
      <c r="F38" s="146">
        <v>2</v>
      </c>
      <c r="G38" s="193"/>
      <c r="H38" s="193" t="s">
        <v>6</v>
      </c>
      <c r="J38" s="406"/>
    </row>
    <row r="39" spans="1:14" ht="4.5" customHeight="1" x14ac:dyDescent="0.25">
      <c r="A39" s="39"/>
      <c r="B39" s="39"/>
      <c r="C39" s="39"/>
      <c r="D39" s="1"/>
      <c r="E39" s="1"/>
      <c r="F39" s="194"/>
      <c r="G39" s="194"/>
      <c r="H39" s="194"/>
      <c r="J39" s="194"/>
      <c r="K39" s="30"/>
      <c r="L39" s="367"/>
      <c r="M39" s="367"/>
      <c r="N39" s="30"/>
    </row>
    <row r="40" spans="1:14" ht="12.75" customHeight="1" x14ac:dyDescent="0.25">
      <c r="B40" s="26" t="s">
        <v>106</v>
      </c>
      <c r="C40" s="60"/>
      <c r="D40" s="51"/>
      <c r="E40" s="51"/>
      <c r="F40" s="147"/>
      <c r="G40" s="193"/>
      <c r="H40" s="193" t="s">
        <v>6</v>
      </c>
      <c r="J40" s="406"/>
    </row>
    <row r="41" spans="1:14" ht="12.75" customHeight="1" x14ac:dyDescent="0.25">
      <c r="B41" s="26" t="s">
        <v>107</v>
      </c>
      <c r="C41" s="60"/>
      <c r="D41" s="51"/>
      <c r="E41" s="51"/>
      <c r="F41" s="147"/>
      <c r="G41" s="193"/>
      <c r="H41" s="193" t="s">
        <v>55</v>
      </c>
      <c r="J41" s="406"/>
    </row>
    <row r="42" spans="1:14" ht="12.75" customHeight="1" x14ac:dyDescent="0.25">
      <c r="B42" s="26" t="s">
        <v>108</v>
      </c>
      <c r="C42" s="60"/>
      <c r="D42" s="51"/>
      <c r="E42" s="51"/>
      <c r="F42" s="147"/>
      <c r="G42" s="193"/>
      <c r="H42" s="193" t="s">
        <v>122</v>
      </c>
      <c r="J42" s="406"/>
    </row>
    <row r="43" spans="1:14" ht="12.75" customHeight="1" x14ac:dyDescent="0.25">
      <c r="B43" s="26" t="s">
        <v>109</v>
      </c>
      <c r="C43" s="60"/>
      <c r="D43" s="51"/>
      <c r="E43" s="51"/>
      <c r="F43" s="147"/>
      <c r="G43" s="193"/>
      <c r="H43" s="193" t="s">
        <v>122</v>
      </c>
      <c r="J43" s="406"/>
    </row>
    <row r="44" spans="1:14" ht="12.75" customHeight="1" x14ac:dyDescent="0.25">
      <c r="B44" s="26" t="s">
        <v>110</v>
      </c>
      <c r="C44" s="60"/>
      <c r="D44" s="51"/>
      <c r="E44" s="51"/>
      <c r="F44" s="147"/>
      <c r="G44" s="193"/>
      <c r="H44" s="193" t="s">
        <v>123</v>
      </c>
      <c r="J44" s="406"/>
    </row>
    <row r="45" spans="1:14" ht="12.75" customHeight="1" x14ac:dyDescent="0.25">
      <c r="B45" s="26" t="s">
        <v>111</v>
      </c>
      <c r="C45" s="60"/>
      <c r="D45" s="51"/>
      <c r="E45" s="51"/>
      <c r="F45" s="147"/>
      <c r="G45" s="193"/>
      <c r="H45" s="193" t="s">
        <v>124</v>
      </c>
      <c r="J45" s="406"/>
    </row>
    <row r="46" spans="1:14" ht="12.75" customHeight="1" x14ac:dyDescent="0.25">
      <c r="B46" s="26" t="s">
        <v>116</v>
      </c>
      <c r="C46" s="60"/>
      <c r="D46" s="51"/>
      <c r="E46" s="51"/>
      <c r="F46" s="147"/>
      <c r="G46" s="193"/>
      <c r="H46" s="193" t="s">
        <v>114</v>
      </c>
      <c r="J46" s="406"/>
    </row>
    <row r="47" spans="1:14" ht="12.75" customHeight="1" x14ac:dyDescent="0.25">
      <c r="B47" s="26" t="s">
        <v>117</v>
      </c>
      <c r="C47" s="60"/>
      <c r="D47" s="51"/>
      <c r="E47" s="51"/>
      <c r="F47" s="147"/>
      <c r="G47" s="193"/>
      <c r="H47" s="193" t="s">
        <v>122</v>
      </c>
      <c r="J47" s="406"/>
    </row>
    <row r="48" spans="1:14" ht="12.75" customHeight="1" x14ac:dyDescent="0.25">
      <c r="B48" s="26" t="s">
        <v>118</v>
      </c>
      <c r="C48" s="60"/>
      <c r="D48" s="51"/>
      <c r="E48" s="51"/>
      <c r="F48" s="147"/>
      <c r="G48" s="193"/>
      <c r="H48" s="193" t="s">
        <v>125</v>
      </c>
      <c r="J48" s="406"/>
    </row>
    <row r="49" spans="1:14" ht="12.75" customHeight="1" x14ac:dyDescent="0.25">
      <c r="B49" s="26" t="s">
        <v>119</v>
      </c>
      <c r="C49" s="60"/>
      <c r="D49" s="51"/>
      <c r="E49" s="51"/>
      <c r="F49" s="147"/>
      <c r="G49" s="193"/>
      <c r="H49" s="193" t="s">
        <v>126</v>
      </c>
      <c r="J49" s="406"/>
    </row>
    <row r="50" spans="1:14" ht="12.75" customHeight="1" x14ac:dyDescent="0.25">
      <c r="B50" s="26" t="s">
        <v>120</v>
      </c>
      <c r="C50" s="60"/>
      <c r="D50" s="51"/>
      <c r="E50" s="51"/>
      <c r="F50" s="147"/>
      <c r="G50" s="193"/>
      <c r="H50" s="193" t="s">
        <v>127</v>
      </c>
      <c r="J50" s="406"/>
    </row>
    <row r="51" spans="1:14" ht="12.75" customHeight="1" x14ac:dyDescent="0.25">
      <c r="B51" s="26" t="s">
        <v>121</v>
      </c>
      <c r="C51" s="60"/>
      <c r="D51" s="51"/>
      <c r="E51" s="51"/>
      <c r="F51" s="147"/>
      <c r="G51" s="193"/>
      <c r="H51" s="193" t="s">
        <v>128</v>
      </c>
      <c r="J51" s="406"/>
    </row>
    <row r="52" spans="1:14" ht="4.5" customHeight="1" x14ac:dyDescent="0.25">
      <c r="A52" s="39"/>
      <c r="B52" s="39"/>
      <c r="C52" s="1"/>
      <c r="D52" s="196"/>
      <c r="E52" s="196"/>
      <c r="F52" s="196"/>
      <c r="G52" s="196"/>
      <c r="H52" s="196"/>
      <c r="I52" s="196"/>
      <c r="J52" s="196"/>
      <c r="K52" s="30"/>
      <c r="L52" s="367"/>
      <c r="M52" s="367"/>
      <c r="N52" s="30"/>
    </row>
    <row r="53" spans="1:14" ht="12.75" customHeight="1" x14ac:dyDescent="0.25">
      <c r="B53" s="24" t="s">
        <v>44</v>
      </c>
      <c r="C53" s="1"/>
      <c r="D53" s="195"/>
      <c r="E53" s="196"/>
      <c r="F53" s="197">
        <f>SUM(F35:F51)</f>
        <v>25</v>
      </c>
      <c r="H53" s="196"/>
      <c r="I53" s="196"/>
      <c r="J53" s="196"/>
    </row>
    <row r="54" spans="1:14" ht="12.95" customHeight="1" x14ac:dyDescent="0.2">
      <c r="B54" s="39"/>
      <c r="C54" s="1"/>
      <c r="D54" s="196"/>
      <c r="E54" s="196"/>
      <c r="F54" s="196"/>
      <c r="G54" s="196"/>
      <c r="H54" s="52"/>
      <c r="I54" s="292"/>
      <c r="K54" s="1"/>
      <c r="L54" s="1"/>
      <c r="M54" s="1"/>
      <c r="N54" s="1"/>
    </row>
    <row r="55" spans="1:14" s="138" customFormat="1" ht="12.95" customHeight="1" x14ac:dyDescent="0.25">
      <c r="A55" s="380" t="s">
        <v>136</v>
      </c>
      <c r="B55" s="380"/>
      <c r="C55" s="380"/>
      <c r="D55" s="380"/>
      <c r="E55" s="380"/>
      <c r="F55" s="380"/>
      <c r="G55" s="380"/>
      <c r="H55" s="380"/>
      <c r="I55" s="380"/>
      <c r="J55" s="142"/>
    </row>
    <row r="56" spans="1:14" s="11" customFormat="1" ht="4.5" customHeight="1" x14ac:dyDescent="0.25">
      <c r="I56" s="2"/>
      <c r="J56" s="2"/>
    </row>
    <row r="57" spans="1:14" ht="14.25" customHeight="1" x14ac:dyDescent="0.25">
      <c r="A57" s="199" t="s">
        <v>11</v>
      </c>
      <c r="B57" s="199"/>
      <c r="C57" s="1"/>
      <c r="F57" s="221">
        <f>I30</f>
        <v>26005000</v>
      </c>
      <c r="G57" s="1"/>
      <c r="H57" s="211"/>
    </row>
    <row r="58" spans="1:14" ht="14.25" customHeight="1" x14ac:dyDescent="0.25">
      <c r="A58" s="27" t="s">
        <v>65</v>
      </c>
      <c r="B58" s="27"/>
      <c r="C58" s="27"/>
      <c r="D58" s="1"/>
      <c r="E58" s="1"/>
      <c r="F58" s="128">
        <f>0.0198*F53+0.9406</f>
        <v>1.4356</v>
      </c>
      <c r="G58" s="1"/>
      <c r="H58" s="129"/>
      <c r="I58" s="148"/>
    </row>
    <row r="59" spans="1:14" ht="14.25" customHeight="1" x14ac:dyDescent="0.25">
      <c r="A59" s="27" t="s">
        <v>74</v>
      </c>
      <c r="B59" s="27"/>
      <c r="C59" s="27"/>
      <c r="D59" s="1"/>
      <c r="E59" s="1"/>
      <c r="F59" s="239">
        <f>ROUND(IF(F57&lt;2000000,40*F57^(-0.1208)*F58/100,(12.2611*F57^(-0.0394)*F58)/100),4)</f>
        <v>8.9800000000000005E-2</v>
      </c>
      <c r="G59" s="1"/>
      <c r="H59" s="212"/>
    </row>
    <row r="60" spans="1:14" ht="14.25" customHeight="1" x14ac:dyDescent="0.25">
      <c r="A60" s="27" t="s">
        <v>67</v>
      </c>
      <c r="B60" s="27"/>
      <c r="C60" s="27"/>
      <c r="D60" s="1"/>
      <c r="E60" s="1"/>
      <c r="F60" s="200">
        <f>40*F57^(-0.1208)*F58/100</f>
        <v>7.3005330692585316E-2</v>
      </c>
      <c r="G60" s="1"/>
      <c r="H60" s="240" t="str">
        <f>IF(F57&lt;2000000,"(PL + ÖBA)","")</f>
        <v/>
      </c>
      <c r="I60" s="1"/>
    </row>
    <row r="61" spans="1:14" ht="14.25" customHeight="1" x14ac:dyDescent="0.25">
      <c r="A61" s="27" t="s">
        <v>68</v>
      </c>
      <c r="B61" s="27"/>
      <c r="C61" s="27"/>
      <c r="D61" s="27"/>
      <c r="E61" s="1"/>
      <c r="F61" s="200">
        <f>(12.2611*F57^(-0.0394)*F58)/100</f>
        <v>8.9827568462941029E-2</v>
      </c>
      <c r="G61" s="241" t="str">
        <f>IF(F57&gt;1999999.99,"(PL + ÖBA)","")</f>
        <v>(PL + ÖBA)</v>
      </c>
      <c r="H61" s="1"/>
      <c r="I61" s="1"/>
    </row>
    <row r="62" spans="1:14" ht="14.25" customHeight="1" x14ac:dyDescent="0.3">
      <c r="A62" s="294" t="s">
        <v>69</v>
      </c>
      <c r="B62" s="24"/>
      <c r="C62" s="24"/>
      <c r="D62" s="295"/>
      <c r="E62" s="201"/>
      <c r="F62" s="305">
        <f>ROUND(F57*F59,2)</f>
        <v>2335249</v>
      </c>
      <c r="G62" s="365" t="s">
        <v>134</v>
      </c>
      <c r="H62" s="202"/>
      <c r="I62" s="202"/>
      <c r="J62" s="202"/>
      <c r="K62" s="42"/>
      <c r="L62" s="42"/>
      <c r="M62" s="42"/>
      <c r="N62" s="42"/>
    </row>
    <row r="63" spans="1:14" ht="4.5" customHeight="1" x14ac:dyDescent="0.25">
      <c r="A63" s="38"/>
      <c r="B63" s="39"/>
      <c r="C63" s="39"/>
      <c r="D63" s="201"/>
      <c r="E63" s="201"/>
      <c r="F63" s="201"/>
      <c r="G63" s="202"/>
      <c r="H63" s="202"/>
      <c r="I63" s="202"/>
      <c r="J63" s="202"/>
      <c r="K63" s="30"/>
      <c r="L63" s="367"/>
      <c r="M63" s="367"/>
      <c r="N63" s="30"/>
    </row>
    <row r="64" spans="1:14" ht="12.95" customHeight="1" x14ac:dyDescent="0.25">
      <c r="A64" s="460" t="s">
        <v>135</v>
      </c>
      <c r="B64" s="460"/>
      <c r="C64" s="460"/>
      <c r="D64" s="460"/>
      <c r="E64" s="460"/>
      <c r="F64" s="460"/>
      <c r="G64" s="460"/>
      <c r="H64" s="460"/>
      <c r="I64" s="460"/>
      <c r="J64" s="202"/>
      <c r="K64" s="454" t="s">
        <v>183</v>
      </c>
      <c r="L64" s="453"/>
      <c r="M64" s="427"/>
      <c r="N64" s="30"/>
    </row>
    <row r="65" spans="1:14" ht="4.5" customHeight="1" x14ac:dyDescent="0.25">
      <c r="A65" s="306"/>
      <c r="B65" s="306"/>
      <c r="C65" s="306"/>
      <c r="D65" s="306"/>
      <c r="E65" s="306"/>
      <c r="F65" s="306"/>
      <c r="G65" s="306"/>
      <c r="H65" s="306"/>
      <c r="I65" s="306"/>
      <c r="J65" s="202"/>
      <c r="K65" s="454"/>
      <c r="L65" s="453"/>
      <c r="M65" s="427"/>
      <c r="N65" s="367"/>
    </row>
    <row r="66" spans="1:14" ht="12.75" customHeight="1" x14ac:dyDescent="0.25">
      <c r="A66" s="203" t="s">
        <v>75</v>
      </c>
      <c r="B66" s="203"/>
      <c r="C66" s="204"/>
      <c r="D66" s="1"/>
      <c r="E66" s="274">
        <v>0.02</v>
      </c>
      <c r="F66" s="233">
        <v>0</v>
      </c>
      <c r="G66" s="1"/>
      <c r="H66" s="205">
        <v>1</v>
      </c>
      <c r="I66" s="397">
        <f>IF($F$57=0,"-",$F$62*F66)</f>
        <v>0</v>
      </c>
      <c r="J66" s="213"/>
      <c r="K66" s="456" t="s">
        <v>178</v>
      </c>
      <c r="L66" s="455">
        <v>8.9999999999999993E-3</v>
      </c>
      <c r="M66" s="427"/>
    </row>
    <row r="67" spans="1:14" ht="12.75" customHeight="1" x14ac:dyDescent="0.25">
      <c r="A67" s="203" t="s">
        <v>35</v>
      </c>
      <c r="B67" s="203"/>
      <c r="C67" s="204"/>
      <c r="D67" s="1"/>
      <c r="E67" s="274">
        <v>0.08</v>
      </c>
      <c r="F67" s="234">
        <v>0</v>
      </c>
      <c r="G67" s="1"/>
      <c r="H67" s="205">
        <v>2</v>
      </c>
      <c r="I67" s="397">
        <f t="shared" ref="I67:I78" si="0">IF($F$57=0,"-",$F$62*F67)</f>
        <v>0</v>
      </c>
      <c r="J67" s="213"/>
      <c r="K67" s="457" t="s">
        <v>179</v>
      </c>
      <c r="L67" s="455">
        <v>0.03</v>
      </c>
      <c r="M67" s="427"/>
    </row>
    <row r="68" spans="1:14" ht="12.75" customHeight="1" x14ac:dyDescent="0.25">
      <c r="A68" s="203" t="s">
        <v>36</v>
      </c>
      <c r="B68" s="203"/>
      <c r="C68" s="204"/>
      <c r="D68" s="1"/>
      <c r="E68" s="274">
        <v>0.12</v>
      </c>
      <c r="F68" s="234">
        <v>0</v>
      </c>
      <c r="G68" s="1"/>
      <c r="H68" s="205">
        <v>3</v>
      </c>
      <c r="I68" s="397">
        <f t="shared" si="0"/>
        <v>0</v>
      </c>
      <c r="J68" s="213"/>
      <c r="K68" s="457" t="s">
        <v>180</v>
      </c>
      <c r="L68" s="455"/>
      <c r="M68" s="427"/>
    </row>
    <row r="69" spans="1:14" ht="12.75" customHeight="1" x14ac:dyDescent="0.25">
      <c r="A69" s="203" t="s">
        <v>37</v>
      </c>
      <c r="B69" s="203"/>
      <c r="C69" s="204"/>
      <c r="D69" s="1"/>
      <c r="E69" s="274">
        <v>0.05</v>
      </c>
      <c r="F69" s="234">
        <v>0</v>
      </c>
      <c r="G69" s="1"/>
      <c r="H69" s="205">
        <v>4</v>
      </c>
      <c r="I69" s="397">
        <f t="shared" si="0"/>
        <v>0</v>
      </c>
      <c r="J69" s="213"/>
      <c r="K69" s="457" t="s">
        <v>181</v>
      </c>
      <c r="L69" s="455">
        <v>0.01</v>
      </c>
      <c r="M69" s="427"/>
    </row>
    <row r="70" spans="1:14" ht="12.75" customHeight="1" x14ac:dyDescent="0.25">
      <c r="A70" s="203" t="s">
        <v>38</v>
      </c>
      <c r="B70" s="203"/>
      <c r="C70" s="204"/>
      <c r="D70" s="1"/>
      <c r="E70" s="274">
        <v>0.22</v>
      </c>
      <c r="F70" s="234">
        <v>0</v>
      </c>
      <c r="G70" s="1"/>
      <c r="H70" s="205">
        <v>5</v>
      </c>
      <c r="I70" s="397">
        <f t="shared" si="0"/>
        <v>0</v>
      </c>
      <c r="J70" s="213"/>
      <c r="K70" s="457" t="s">
        <v>182</v>
      </c>
      <c r="L70" s="455">
        <v>0.01</v>
      </c>
      <c r="M70" s="427"/>
    </row>
    <row r="71" spans="1:14" ht="12.75" customHeight="1" x14ac:dyDescent="0.25">
      <c r="A71" s="203" t="s">
        <v>39</v>
      </c>
      <c r="B71" s="203"/>
      <c r="C71" s="204"/>
      <c r="D71" s="1"/>
      <c r="E71" s="274">
        <v>0.06</v>
      </c>
      <c r="F71" s="234">
        <v>0</v>
      </c>
      <c r="G71" s="1"/>
      <c r="H71" s="205">
        <v>6</v>
      </c>
      <c r="I71" s="397">
        <f t="shared" si="0"/>
        <v>0</v>
      </c>
      <c r="J71" s="213"/>
      <c r="K71" s="457" t="s">
        <v>184</v>
      </c>
      <c r="L71" s="455"/>
      <c r="M71" s="427"/>
    </row>
    <row r="72" spans="1:14" ht="12.75" customHeight="1" x14ac:dyDescent="0.25">
      <c r="A72" s="203" t="s">
        <v>40</v>
      </c>
      <c r="B72" s="203"/>
      <c r="C72" s="204"/>
      <c r="D72" s="1"/>
      <c r="E72" s="274">
        <v>0.02</v>
      </c>
      <c r="F72" s="234">
        <v>0</v>
      </c>
      <c r="G72" s="1"/>
      <c r="H72" s="205"/>
      <c r="I72" s="397">
        <f t="shared" si="0"/>
        <v>0</v>
      </c>
      <c r="J72" s="213"/>
      <c r="K72" s="457" t="s">
        <v>185</v>
      </c>
      <c r="L72" s="455"/>
      <c r="M72" s="427"/>
      <c r="N72" s="43"/>
    </row>
    <row r="73" spans="1:14" ht="12.75" customHeight="1" x14ac:dyDescent="0.25">
      <c r="A73" s="203" t="s">
        <v>53</v>
      </c>
      <c r="B73" s="203"/>
      <c r="C73" s="204"/>
      <c r="D73" s="1"/>
      <c r="E73" s="274">
        <v>0.04</v>
      </c>
      <c r="F73" s="234">
        <v>0</v>
      </c>
      <c r="G73" s="1"/>
      <c r="H73" s="205">
        <v>7</v>
      </c>
      <c r="I73" s="397">
        <f t="shared" si="0"/>
        <v>0</v>
      </c>
      <c r="J73" s="213"/>
      <c r="K73" s="457" t="s">
        <v>186</v>
      </c>
      <c r="L73" s="453"/>
      <c r="M73" s="427"/>
      <c r="N73" s="43"/>
    </row>
    <row r="74" spans="1:14" ht="12.75" customHeight="1" x14ac:dyDescent="0.25">
      <c r="A74" s="186" t="s">
        <v>42</v>
      </c>
      <c r="B74" s="186"/>
      <c r="C74" s="204"/>
      <c r="D74" s="1"/>
      <c r="E74" s="274">
        <v>0.37</v>
      </c>
      <c r="F74" s="234">
        <v>0.37</v>
      </c>
      <c r="G74" s="1"/>
      <c r="H74" s="205">
        <v>8</v>
      </c>
      <c r="I74" s="397">
        <f t="shared" si="0"/>
        <v>864042.13</v>
      </c>
      <c r="J74" s="213"/>
      <c r="K74" s="457" t="s">
        <v>187</v>
      </c>
      <c r="L74" s="453"/>
      <c r="M74" s="427"/>
      <c r="N74" s="43"/>
    </row>
    <row r="75" spans="1:14" ht="12.75" customHeight="1" x14ac:dyDescent="0.25">
      <c r="A75" s="277" t="s">
        <v>54</v>
      </c>
      <c r="B75" s="277"/>
      <c r="C75" s="278"/>
      <c r="D75" s="1"/>
      <c r="E75" s="290">
        <v>0.02</v>
      </c>
      <c r="F75" s="329">
        <v>0</v>
      </c>
      <c r="G75" s="1"/>
      <c r="H75" s="279">
        <v>9</v>
      </c>
      <c r="I75" s="397">
        <f t="shared" si="0"/>
        <v>0</v>
      </c>
      <c r="J75" s="213"/>
      <c r="K75" s="457" t="s">
        <v>188</v>
      </c>
      <c r="L75" s="453"/>
      <c r="M75" s="427"/>
      <c r="N75" s="43"/>
    </row>
    <row r="76" spans="1:14" s="286" customFormat="1" ht="12.75" customHeight="1" x14ac:dyDescent="0.25">
      <c r="A76" s="386" t="s">
        <v>129</v>
      </c>
      <c r="B76" s="386"/>
      <c r="C76" s="387"/>
      <c r="E76" s="403"/>
      <c r="F76" s="396">
        <v>0</v>
      </c>
      <c r="G76" s="404"/>
      <c r="H76" s="404"/>
      <c r="I76" s="398">
        <f t="shared" si="0"/>
        <v>0</v>
      </c>
      <c r="J76" s="289"/>
      <c r="K76" s="457" t="s">
        <v>189</v>
      </c>
      <c r="L76" s="453"/>
      <c r="M76" s="427"/>
      <c r="N76" s="285"/>
    </row>
    <row r="77" spans="1:14" s="286" customFormat="1" ht="12.75" customHeight="1" x14ac:dyDescent="0.25">
      <c r="A77" s="386" t="s">
        <v>129</v>
      </c>
      <c r="B77" s="386"/>
      <c r="C77" s="387"/>
      <c r="E77" s="403"/>
      <c r="F77" s="396">
        <v>0</v>
      </c>
      <c r="G77" s="404"/>
      <c r="H77" s="404"/>
      <c r="I77" s="398">
        <f t="shared" si="0"/>
        <v>0</v>
      </c>
      <c r="J77" s="289"/>
      <c r="K77" s="457" t="s">
        <v>190</v>
      </c>
      <c r="L77" s="453"/>
      <c r="M77" s="427"/>
      <c r="N77" s="285"/>
    </row>
    <row r="78" spans="1:14" s="286" customFormat="1" ht="12.75" customHeight="1" x14ac:dyDescent="0.25">
      <c r="A78" s="280" t="s">
        <v>129</v>
      </c>
      <c r="B78" s="280"/>
      <c r="C78" s="281"/>
      <c r="D78" s="282"/>
      <c r="E78" s="287"/>
      <c r="F78" s="393">
        <v>0</v>
      </c>
      <c r="G78" s="288"/>
      <c r="H78" s="288"/>
      <c r="I78" s="398">
        <f t="shared" si="0"/>
        <v>0</v>
      </c>
      <c r="J78" s="289"/>
      <c r="K78" s="457" t="s">
        <v>191</v>
      </c>
      <c r="L78" s="453"/>
      <c r="M78" s="427"/>
      <c r="N78" s="285"/>
    </row>
    <row r="79" spans="1:14" ht="12.75" customHeight="1" x14ac:dyDescent="0.25">
      <c r="A79" s="206" t="s">
        <v>146</v>
      </c>
      <c r="B79" s="186"/>
      <c r="C79" s="27"/>
      <c r="D79" s="1"/>
      <c r="E79" s="273">
        <f>SUM(E66:E78)</f>
        <v>1</v>
      </c>
      <c r="F79" s="236">
        <f>SUM(F66:F78)</f>
        <v>0.37</v>
      </c>
      <c r="G79" s="207"/>
      <c r="H79" s="207"/>
      <c r="I79" s="402">
        <f>SUM(I66:I78)</f>
        <v>864042.13</v>
      </c>
      <c r="J79" s="210"/>
      <c r="K79" s="427"/>
      <c r="L79" s="427"/>
      <c r="M79" s="427"/>
      <c r="N79" s="43"/>
    </row>
    <row r="80" spans="1:14" ht="12.95" customHeight="1" x14ac:dyDescent="0.25">
      <c r="G80" s="135"/>
      <c r="K80" s="43"/>
      <c r="L80" s="368"/>
      <c r="M80" s="368"/>
      <c r="N80" s="43"/>
    </row>
    <row r="81" spans="1:14" s="138" customFormat="1" ht="12.95" customHeight="1" x14ac:dyDescent="0.25">
      <c r="A81" s="380" t="s">
        <v>137</v>
      </c>
      <c r="B81" s="380"/>
      <c r="C81" s="380"/>
      <c r="D81" s="380"/>
      <c r="E81" s="380"/>
      <c r="F81" s="380"/>
      <c r="G81" s="380"/>
      <c r="H81" s="380"/>
      <c r="I81" s="380"/>
      <c r="J81" s="142"/>
    </row>
    <row r="82" spans="1:14" s="11" customFormat="1" ht="4.5" customHeight="1" x14ac:dyDescent="0.25">
      <c r="I82" s="2"/>
      <c r="J82" s="2"/>
    </row>
    <row r="83" spans="1:14" ht="12.75" customHeight="1" x14ac:dyDescent="0.3">
      <c r="A83" s="294" t="s">
        <v>69</v>
      </c>
      <c r="E83" s="299"/>
      <c r="F83" s="381"/>
      <c r="G83" s="510"/>
      <c r="H83" s="511"/>
      <c r="I83" s="164">
        <f>I79</f>
        <v>864042.13</v>
      </c>
      <c r="J83" s="18"/>
      <c r="K83" s="1"/>
      <c r="L83" s="1"/>
      <c r="M83" s="1"/>
      <c r="N83" s="1"/>
    </row>
    <row r="84" spans="1:14" ht="12.75" customHeight="1" x14ac:dyDescent="0.2">
      <c r="A84" s="47" t="s">
        <v>80</v>
      </c>
      <c r="F84" s="242">
        <v>0</v>
      </c>
      <c r="G84" s="379"/>
      <c r="H84" s="243">
        <v>0</v>
      </c>
      <c r="I84" s="164">
        <f>F84*H84</f>
        <v>0</v>
      </c>
      <c r="K84" s="1"/>
      <c r="L84" s="1"/>
      <c r="M84" s="1"/>
      <c r="N84" s="1"/>
    </row>
    <row r="85" spans="1:14" ht="4.5" customHeight="1" x14ac:dyDescent="0.25">
      <c r="G85" s="135"/>
      <c r="K85" s="43"/>
      <c r="L85" s="368"/>
      <c r="M85" s="368"/>
      <c r="N85" s="43"/>
    </row>
    <row r="86" spans="1:14" s="31" customFormat="1" ht="12.75" x14ac:dyDescent="0.2">
      <c r="A86" s="122" t="s">
        <v>165</v>
      </c>
      <c r="B86" s="123"/>
      <c r="C86" s="124"/>
      <c r="D86" s="124"/>
      <c r="E86" s="125"/>
      <c r="F86" s="126"/>
      <c r="G86" s="136"/>
      <c r="H86" s="125"/>
      <c r="I86" s="127">
        <f>I83+I84</f>
        <v>864042.13</v>
      </c>
      <c r="J86" s="35"/>
      <c r="K86" s="80"/>
      <c r="L86" s="80"/>
      <c r="M86" s="80"/>
      <c r="N86" s="81"/>
    </row>
    <row r="87" spans="1:14" s="31" customFormat="1" ht="4.5" customHeight="1" x14ac:dyDescent="0.2">
      <c r="B87" s="32"/>
      <c r="C87" s="33"/>
      <c r="D87" s="33"/>
      <c r="E87" s="64"/>
      <c r="F87" s="65"/>
      <c r="G87" s="66"/>
      <c r="H87" s="92"/>
      <c r="I87" s="116"/>
      <c r="J87" s="93"/>
      <c r="K87" s="35"/>
      <c r="L87" s="35"/>
      <c r="M87" s="35"/>
      <c r="N87" s="83"/>
    </row>
    <row r="88" spans="1:14" s="31" customFormat="1" ht="12.75" x14ac:dyDescent="0.2">
      <c r="A88" s="67" t="s">
        <v>13</v>
      </c>
      <c r="B88" s="32"/>
      <c r="C88" s="33"/>
      <c r="D88" s="33"/>
      <c r="E88" s="75"/>
      <c r="F88" s="229">
        <v>0.04</v>
      </c>
      <c r="H88" s="37"/>
      <c r="I88" s="117">
        <f>ROUND(I86*F88,2)</f>
        <v>34561.69</v>
      </c>
      <c r="J88" s="93"/>
      <c r="K88" s="85"/>
      <c r="L88" s="85"/>
      <c r="M88" s="85"/>
      <c r="N88" s="83"/>
    </row>
    <row r="89" spans="1:14" s="31" customFormat="1" ht="3" customHeight="1" x14ac:dyDescent="0.2">
      <c r="A89" s="68"/>
      <c r="B89" s="69"/>
      <c r="C89" s="70"/>
      <c r="D89" s="70"/>
      <c r="E89" s="76"/>
      <c r="F89" s="76"/>
      <c r="G89" s="230"/>
      <c r="H89" s="237"/>
      <c r="I89" s="118"/>
      <c r="J89" s="93"/>
      <c r="K89" s="35"/>
      <c r="L89" s="35"/>
      <c r="M89" s="35"/>
      <c r="N89" s="83"/>
    </row>
    <row r="90" spans="1:14" s="31" customFormat="1" ht="3" customHeight="1" x14ac:dyDescent="0.2">
      <c r="B90" s="32"/>
      <c r="C90" s="33"/>
      <c r="D90" s="33"/>
      <c r="E90" s="71"/>
      <c r="F90" s="71"/>
      <c r="G90" s="232"/>
      <c r="H90" s="238"/>
      <c r="I90" s="116"/>
      <c r="J90" s="93"/>
      <c r="K90" s="35"/>
      <c r="L90" s="35"/>
      <c r="M90" s="35"/>
      <c r="N90" s="83"/>
    </row>
    <row r="91" spans="1:14" s="31" customFormat="1" ht="12.75" x14ac:dyDescent="0.2">
      <c r="A91" s="122" t="s">
        <v>166</v>
      </c>
      <c r="B91" s="123"/>
      <c r="C91" s="124"/>
      <c r="D91" s="124"/>
      <c r="E91" s="125"/>
      <c r="F91" s="126"/>
      <c r="G91" s="136"/>
      <c r="H91" s="125"/>
      <c r="I91" s="127">
        <f>I86+I88</f>
        <v>898603.82000000007</v>
      </c>
      <c r="J91" s="35"/>
      <c r="K91" s="80"/>
      <c r="L91" s="80"/>
      <c r="M91" s="80"/>
      <c r="N91" s="81"/>
    </row>
    <row r="92" spans="1:14" s="31" customFormat="1" ht="4.5" customHeight="1" x14ac:dyDescent="0.2">
      <c r="B92" s="32"/>
      <c r="C92" s="33"/>
      <c r="D92" s="33"/>
      <c r="E92" s="64"/>
      <c r="F92" s="65"/>
      <c r="G92" s="66"/>
      <c r="H92" s="92"/>
      <c r="I92" s="116"/>
      <c r="J92" s="93"/>
      <c r="K92" s="35"/>
      <c r="L92" s="35"/>
      <c r="M92" s="35"/>
      <c r="N92" s="83"/>
    </row>
    <row r="93" spans="1:14" s="31" customFormat="1" ht="12.75" x14ac:dyDescent="0.2">
      <c r="A93" s="67" t="s">
        <v>115</v>
      </c>
      <c r="B93" s="32"/>
      <c r="C93" s="33"/>
      <c r="D93" s="33"/>
      <c r="E93" s="75"/>
      <c r="F93" s="229">
        <v>0</v>
      </c>
      <c r="H93" s="37"/>
      <c r="I93" s="117">
        <f>ROUND(I91*F93,2)</f>
        <v>0</v>
      </c>
      <c r="J93" s="93"/>
      <c r="K93" s="85"/>
      <c r="L93" s="85"/>
      <c r="M93" s="85"/>
      <c r="N93" s="83"/>
    </row>
    <row r="94" spans="1:14" s="31" customFormat="1" ht="3" customHeight="1" x14ac:dyDescent="0.2">
      <c r="A94" s="68"/>
      <c r="B94" s="69"/>
      <c r="C94" s="70"/>
      <c r="D94" s="70"/>
      <c r="E94" s="76"/>
      <c r="F94" s="76"/>
      <c r="G94" s="230"/>
      <c r="H94" s="237"/>
      <c r="I94" s="118"/>
      <c r="J94" s="93"/>
      <c r="K94" s="35"/>
      <c r="L94" s="35"/>
      <c r="M94" s="35"/>
      <c r="N94" s="83"/>
    </row>
    <row r="95" spans="1:14" s="31" customFormat="1" ht="3" customHeight="1" x14ac:dyDescent="0.2">
      <c r="B95" s="32"/>
      <c r="C95" s="33"/>
      <c r="D95" s="33"/>
      <c r="E95" s="71"/>
      <c r="F95" s="71"/>
      <c r="G95" s="232"/>
      <c r="H95" s="238"/>
      <c r="I95" s="116"/>
      <c r="J95" s="93"/>
      <c r="K95" s="35"/>
      <c r="L95" s="35"/>
      <c r="M95" s="35"/>
      <c r="N95" s="83"/>
    </row>
    <row r="96" spans="1:14" s="31" customFormat="1" ht="12.75" x14ac:dyDescent="0.2">
      <c r="A96" s="122" t="s">
        <v>167</v>
      </c>
      <c r="B96" s="123"/>
      <c r="C96" s="124"/>
      <c r="D96" s="124"/>
      <c r="E96" s="125"/>
      <c r="F96" s="126"/>
      <c r="G96" s="136"/>
      <c r="H96" s="125"/>
      <c r="I96" s="127">
        <f>I91+I93</f>
        <v>898603.82000000007</v>
      </c>
      <c r="J96" s="35"/>
      <c r="K96" s="80"/>
      <c r="L96" s="80"/>
      <c r="M96" s="80"/>
      <c r="N96" s="81"/>
    </row>
    <row r="97" spans="1:15" s="152" customFormat="1" ht="4.5" customHeight="1" x14ac:dyDescent="0.2">
      <c r="A97" s="72"/>
      <c r="B97" s="73"/>
      <c r="C97" s="74"/>
      <c r="D97" s="74"/>
      <c r="E97" s="412"/>
      <c r="I97" s="164"/>
      <c r="J97" s="35"/>
      <c r="K97" s="80"/>
      <c r="L97" s="80"/>
      <c r="M97" s="80"/>
      <c r="N97" s="81"/>
      <c r="O97" s="82"/>
    </row>
    <row r="98" spans="1:15" s="31" customFormat="1" ht="12.75" x14ac:dyDescent="0.2">
      <c r="A98" s="31" t="s">
        <v>14</v>
      </c>
      <c r="B98" s="32"/>
      <c r="D98" s="33"/>
      <c r="E98" s="71"/>
      <c r="F98" s="37">
        <v>0.2</v>
      </c>
      <c r="H98" s="37"/>
      <c r="I98" s="120">
        <f>ROUND(I96*F98,2)</f>
        <v>179720.76</v>
      </c>
      <c r="J98" s="89"/>
      <c r="K98" s="35"/>
      <c r="L98" s="35"/>
      <c r="M98" s="35"/>
      <c r="N98" s="83"/>
    </row>
    <row r="99" spans="1:15" s="31" customFormat="1" ht="3" customHeight="1" x14ac:dyDescent="0.2">
      <c r="A99" s="36"/>
      <c r="B99" s="222"/>
      <c r="C99" s="77"/>
      <c r="D99" s="77"/>
      <c r="E99" s="71"/>
      <c r="F99" s="71"/>
      <c r="G99" s="66"/>
      <c r="H99" s="92"/>
      <c r="I99" s="121"/>
      <c r="J99" s="93"/>
      <c r="K99" s="35"/>
      <c r="L99" s="35"/>
      <c r="M99" s="35"/>
      <c r="N99" s="83"/>
    </row>
    <row r="100" spans="1:15" s="36" customFormat="1" ht="12.75" x14ac:dyDescent="0.2">
      <c r="A100" s="215" t="s">
        <v>168</v>
      </c>
      <c r="B100" s="223"/>
      <c r="C100" s="216"/>
      <c r="D100" s="216"/>
      <c r="E100" s="217"/>
      <c r="F100" s="218"/>
      <c r="G100" s="219"/>
      <c r="H100" s="219"/>
      <c r="I100" s="220">
        <f>SUM(I95:I98)</f>
        <v>1078324.58</v>
      </c>
      <c r="J100" s="407"/>
      <c r="K100" s="86"/>
      <c r="L100" s="86"/>
      <c r="M100" s="86"/>
      <c r="N100" s="87"/>
    </row>
  </sheetData>
  <mergeCells count="16">
    <mergeCell ref="G83:H83"/>
    <mergeCell ref="E11:E12"/>
    <mergeCell ref="F11:F12"/>
    <mergeCell ref="F2:I2"/>
    <mergeCell ref="A18:B18"/>
    <mergeCell ref="A20:B20"/>
    <mergeCell ref="A28:B28"/>
    <mergeCell ref="A22:B22"/>
    <mergeCell ref="A24:B24"/>
    <mergeCell ref="K11:L16"/>
    <mergeCell ref="A7:B7"/>
    <mergeCell ref="A9:B9"/>
    <mergeCell ref="A11:B11"/>
    <mergeCell ref="A14:B14"/>
    <mergeCell ref="A16:B16"/>
    <mergeCell ref="A12:B12"/>
  </mergeCells>
  <conditionalFormatting sqref="F60">
    <cfRule type="expression" dxfId="3" priority="2" stopIfTrue="1">
      <formula>$F$57&gt;1999999.99</formula>
    </cfRule>
  </conditionalFormatting>
  <conditionalFormatting sqref="F61">
    <cfRule type="expression" dxfId="2" priority="1" stopIfTrue="1">
      <formula>$F$57&lt;2000000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&amp;L&amp;"Arial,Fett"&amp;10&amp;K969696Vergabemodelle&amp;R&amp;"Arial,Fett"&amp;10&amp;K969696Vertrag öBA - Anhang 3</oddHeader>
    <oddFooter>&amp;L&amp;"Arial,Standard"&amp;9&amp;K000000Seite &amp;P von &amp;N                              Juni 2018&amp;R&amp;"Arial,Fett"&amp;9&amp;K000000Leitfaden Vergabe technische Beratung &amp; Planung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1">
    <tabColor theme="0" tint="-0.34998626667073579"/>
  </sheetPr>
  <dimension ref="A1:N104"/>
  <sheetViews>
    <sheetView showGridLines="0" view="pageLayout" topLeftCell="A10" zoomScale="70" zoomScaleNormal="85" zoomScaleSheetLayoutView="115" zoomScalePageLayoutView="70" workbookViewId="0">
      <selection activeCell="L90" sqref="L90"/>
    </sheetView>
  </sheetViews>
  <sheetFormatPr baseColWidth="10" defaultColWidth="11.5703125" defaultRowHeight="12" x14ac:dyDescent="0.2"/>
  <cols>
    <col min="1" max="1" width="1.5703125" style="1" customWidth="1"/>
    <col min="2" max="2" width="2.28515625" style="7" customWidth="1"/>
    <col min="3" max="3" width="3.5703125" style="7" customWidth="1"/>
    <col min="4" max="4" width="33.7109375" style="8" customWidth="1"/>
    <col min="5" max="5" width="9.85546875" style="41" customWidth="1"/>
    <col min="6" max="6" width="14.7109375" style="41" customWidth="1"/>
    <col min="7" max="7" width="2.7109375" style="8" customWidth="1"/>
    <col min="8" max="8" width="11.28515625" style="41" customWidth="1"/>
    <col min="9" max="9" width="14.7109375" style="9" customWidth="1" collapsed="1"/>
    <col min="10" max="10" width="2.7109375" style="10" customWidth="1"/>
    <col min="11" max="11" width="22.7109375" style="58" customWidth="1"/>
    <col min="12" max="12" width="5.7109375" style="1" customWidth="1"/>
    <col min="13" max="16384" width="11.5703125" style="1"/>
  </cols>
  <sheetData>
    <row r="1" spans="1:11" ht="5.0999999999999996" customHeight="1" x14ac:dyDescent="0.2"/>
    <row r="2" spans="1:11" s="53" customFormat="1" ht="35.1" customHeight="1" x14ac:dyDescent="0.2">
      <c r="C2" s="13"/>
      <c r="D2" s="102"/>
      <c r="F2" s="518" t="s">
        <v>203</v>
      </c>
      <c r="G2" s="518"/>
      <c r="H2" s="518"/>
      <c r="I2" s="518"/>
      <c r="K2" s="61"/>
    </row>
    <row r="3" spans="1:11" s="11" customFormat="1" ht="12.95" customHeight="1" x14ac:dyDescent="0.2">
      <c r="A3" s="331" t="s">
        <v>77</v>
      </c>
      <c r="B3" s="339"/>
      <c r="C3" s="339"/>
      <c r="D3" s="339"/>
      <c r="E3" s="339"/>
      <c r="F3" s="339"/>
      <c r="G3" s="339"/>
      <c r="H3" s="339"/>
      <c r="I3" s="339"/>
      <c r="J3" s="2"/>
      <c r="K3" s="2"/>
    </row>
    <row r="4" spans="1:11" s="11" customFormat="1" ht="6" customHeight="1" x14ac:dyDescent="0.25">
      <c r="J4" s="2"/>
      <c r="K4" s="2"/>
    </row>
    <row r="5" spans="1:11" s="11" customFormat="1" ht="12.95" customHeight="1" x14ac:dyDescent="0.25">
      <c r="E5" s="99" t="s">
        <v>62</v>
      </c>
      <c r="F5" s="44" t="s">
        <v>49</v>
      </c>
      <c r="G5" s="44"/>
      <c r="H5" s="16" t="s">
        <v>15</v>
      </c>
      <c r="I5" s="114" t="s">
        <v>50</v>
      </c>
      <c r="K5" s="44"/>
    </row>
    <row r="6" spans="1:11" s="11" customFormat="1" ht="6" customHeight="1" x14ac:dyDescent="0.25">
      <c r="F6" s="97"/>
      <c r="I6" s="2"/>
      <c r="K6" s="2"/>
    </row>
    <row r="7" spans="1:11" s="12" customFormat="1" ht="12.95" customHeight="1" x14ac:dyDescent="0.2">
      <c r="A7" s="503">
        <v>1</v>
      </c>
      <c r="B7" s="503"/>
      <c r="C7" s="105"/>
      <c r="D7" s="106" t="s">
        <v>0</v>
      </c>
      <c r="E7" s="153">
        <f>F7/F34</f>
        <v>2.4435811028050126E-3</v>
      </c>
      <c r="F7" s="172">
        <f>_1</f>
        <v>70000</v>
      </c>
      <c r="G7" s="103"/>
      <c r="H7" s="131">
        <v>0</v>
      </c>
      <c r="I7" s="172">
        <f>F7*H7</f>
        <v>0</v>
      </c>
      <c r="K7" s="49"/>
    </row>
    <row r="8" spans="1:11" ht="2.25" customHeight="1" x14ac:dyDescent="0.2">
      <c r="B8" s="4"/>
      <c r="C8" s="6"/>
      <c r="D8" s="1"/>
      <c r="E8" s="154"/>
      <c r="F8" s="167"/>
      <c r="G8" s="1"/>
      <c r="H8" s="421"/>
      <c r="I8" s="167"/>
      <c r="K8" s="62"/>
    </row>
    <row r="9" spans="1:11" s="12" customFormat="1" ht="12.95" customHeight="1" x14ac:dyDescent="0.2">
      <c r="A9" s="503">
        <v>2</v>
      </c>
      <c r="B9" s="503"/>
      <c r="C9" s="105"/>
      <c r="D9" s="106" t="s">
        <v>1</v>
      </c>
      <c r="E9" s="153">
        <f>F9/F34</f>
        <v>0.31417471321778734</v>
      </c>
      <c r="F9" s="172">
        <f>_2</f>
        <v>9000000</v>
      </c>
      <c r="G9" s="103"/>
      <c r="H9" s="131">
        <v>0</v>
      </c>
      <c r="I9" s="172">
        <f>F9*H9</f>
        <v>0</v>
      </c>
      <c r="K9" s="49"/>
    </row>
    <row r="10" spans="1:11" ht="2.25" customHeight="1" x14ac:dyDescent="0.2">
      <c r="B10" s="4"/>
      <c r="C10" s="6"/>
      <c r="D10" s="1"/>
      <c r="E10" s="154"/>
      <c r="F10" s="167"/>
      <c r="G10" s="1"/>
      <c r="H10" s="421"/>
      <c r="I10" s="167"/>
      <c r="K10" s="62"/>
    </row>
    <row r="11" spans="1:11" s="11" customFormat="1" ht="12.95" customHeight="1" x14ac:dyDescent="0.2">
      <c r="A11" s="503">
        <v>3</v>
      </c>
      <c r="B11" s="503"/>
      <c r="C11" s="105"/>
      <c r="D11" s="106" t="s">
        <v>7</v>
      </c>
      <c r="E11" s="153">
        <f>F11/F34</f>
        <v>0.28275724189600859</v>
      </c>
      <c r="F11" s="327">
        <f>_3</f>
        <v>8100000</v>
      </c>
      <c r="G11" s="103"/>
      <c r="H11" s="423"/>
      <c r="I11" s="151"/>
      <c r="K11" s="49"/>
    </row>
    <row r="12" spans="1:11" ht="12.95" customHeight="1" x14ac:dyDescent="0.2">
      <c r="A12" s="520">
        <v>3</v>
      </c>
      <c r="B12" s="520"/>
      <c r="C12" s="108" t="s">
        <v>16</v>
      </c>
      <c r="D12" s="109" t="s">
        <v>17</v>
      </c>
      <c r="E12" s="155"/>
      <c r="F12" s="169">
        <f>_3Sanitär</f>
        <v>900000</v>
      </c>
      <c r="G12" s="103"/>
      <c r="H12" s="132">
        <v>1</v>
      </c>
      <c r="I12" s="173">
        <f t="shared" ref="I12:I20" si="0">F12*H12</f>
        <v>900000</v>
      </c>
      <c r="K12" s="49"/>
    </row>
    <row r="13" spans="1:11" ht="12.95" customHeight="1" x14ac:dyDescent="0.2">
      <c r="A13" s="519">
        <v>3</v>
      </c>
      <c r="B13" s="519"/>
      <c r="C13" s="110" t="s">
        <v>18</v>
      </c>
      <c r="D13" s="111" t="s">
        <v>25</v>
      </c>
      <c r="E13" s="156"/>
      <c r="F13" s="170">
        <f>_3Heizung</f>
        <v>1000000</v>
      </c>
      <c r="G13" s="103"/>
      <c r="H13" s="132">
        <v>1</v>
      </c>
      <c r="I13" s="226">
        <f t="shared" si="0"/>
        <v>1000000</v>
      </c>
      <c r="K13" s="49"/>
    </row>
    <row r="14" spans="1:11" ht="12.95" customHeight="1" x14ac:dyDescent="0.2">
      <c r="A14" s="519">
        <v>3</v>
      </c>
      <c r="B14" s="519"/>
      <c r="C14" s="110" t="s">
        <v>19</v>
      </c>
      <c r="D14" s="111" t="s">
        <v>26</v>
      </c>
      <c r="E14" s="156"/>
      <c r="F14" s="171">
        <f>_3Lüftung</f>
        <v>1000000</v>
      </c>
      <c r="G14" s="103"/>
      <c r="H14" s="132">
        <v>1</v>
      </c>
      <c r="I14" s="226">
        <f t="shared" si="0"/>
        <v>1000000</v>
      </c>
      <c r="K14" s="49"/>
    </row>
    <row r="15" spans="1:11" ht="12.95" customHeight="1" x14ac:dyDescent="0.2">
      <c r="A15" s="519">
        <v>3</v>
      </c>
      <c r="B15" s="519"/>
      <c r="C15" s="110" t="s">
        <v>20</v>
      </c>
      <c r="D15" s="111" t="s">
        <v>27</v>
      </c>
      <c r="E15" s="156"/>
      <c r="F15" s="171">
        <f>_3Elektro</f>
        <v>1500000</v>
      </c>
      <c r="G15" s="103"/>
      <c r="H15" s="132">
        <v>1</v>
      </c>
      <c r="I15" s="226">
        <f t="shared" si="0"/>
        <v>1500000</v>
      </c>
      <c r="K15" s="49"/>
    </row>
    <row r="16" spans="1:11" ht="12.95" customHeight="1" x14ac:dyDescent="0.2">
      <c r="A16" s="519">
        <v>3</v>
      </c>
      <c r="B16" s="519"/>
      <c r="C16" s="110" t="s">
        <v>21</v>
      </c>
      <c r="D16" s="111" t="s">
        <v>30</v>
      </c>
      <c r="E16" s="156"/>
      <c r="F16" s="171">
        <f>_3IT</f>
        <v>600000</v>
      </c>
      <c r="G16" s="103"/>
      <c r="H16" s="132">
        <v>1</v>
      </c>
      <c r="I16" s="226">
        <f t="shared" si="0"/>
        <v>600000</v>
      </c>
      <c r="K16" s="49"/>
    </row>
    <row r="17" spans="1:11" ht="12.95" customHeight="1" x14ac:dyDescent="0.2">
      <c r="A17" s="519">
        <v>3</v>
      </c>
      <c r="B17" s="519"/>
      <c r="C17" s="110" t="s">
        <v>22</v>
      </c>
      <c r="D17" s="111" t="s">
        <v>28</v>
      </c>
      <c r="E17" s="156"/>
      <c r="F17" s="171">
        <f>_3Föte</f>
        <v>1500000</v>
      </c>
      <c r="G17" s="103"/>
      <c r="H17" s="132">
        <v>1</v>
      </c>
      <c r="I17" s="226">
        <f t="shared" si="0"/>
        <v>1500000</v>
      </c>
      <c r="K17" s="49"/>
    </row>
    <row r="18" spans="1:11" ht="12.95" customHeight="1" x14ac:dyDescent="0.2">
      <c r="A18" s="519">
        <v>3</v>
      </c>
      <c r="B18" s="519"/>
      <c r="C18" s="110" t="s">
        <v>23</v>
      </c>
      <c r="D18" s="111" t="s">
        <v>29</v>
      </c>
      <c r="E18" s="156"/>
      <c r="F18" s="171">
        <f>_3Nutzer</f>
        <v>300000</v>
      </c>
      <c r="G18" s="103"/>
      <c r="H18" s="132">
        <v>1</v>
      </c>
      <c r="I18" s="226">
        <f t="shared" si="0"/>
        <v>300000</v>
      </c>
      <c r="K18" s="49"/>
    </row>
    <row r="19" spans="1:11" ht="12.95" customHeight="1" x14ac:dyDescent="0.2">
      <c r="A19" s="438">
        <v>3</v>
      </c>
      <c r="B19" s="438"/>
      <c r="C19" s="110" t="s">
        <v>195</v>
      </c>
      <c r="D19" s="111" t="s">
        <v>194</v>
      </c>
      <c r="E19" s="156"/>
      <c r="F19" s="171">
        <f>Projektkennwerte!M49</f>
        <v>1000000</v>
      </c>
      <c r="G19" s="103"/>
      <c r="H19" s="132">
        <v>1</v>
      </c>
      <c r="I19" s="440">
        <f t="shared" si="0"/>
        <v>1000000</v>
      </c>
      <c r="K19" s="49"/>
    </row>
    <row r="20" spans="1:11" ht="12.95" customHeight="1" x14ac:dyDescent="0.2">
      <c r="A20" s="519">
        <v>3</v>
      </c>
      <c r="B20" s="519"/>
      <c r="C20" s="110" t="s">
        <v>24</v>
      </c>
      <c r="D20" s="111" t="s">
        <v>8</v>
      </c>
      <c r="E20" s="156"/>
      <c r="F20" s="171">
        <f>_3GA</f>
        <v>300000</v>
      </c>
      <c r="G20" s="103"/>
      <c r="H20" s="132">
        <v>1</v>
      </c>
      <c r="I20" s="227">
        <f t="shared" si="0"/>
        <v>300000</v>
      </c>
      <c r="K20" s="49"/>
    </row>
    <row r="21" spans="1:11" ht="2.25" customHeight="1" x14ac:dyDescent="0.2">
      <c r="B21" s="4"/>
      <c r="C21" s="6"/>
      <c r="D21" s="1"/>
      <c r="E21" s="154"/>
      <c r="F21" s="167"/>
      <c r="G21" s="1"/>
      <c r="H21" s="421"/>
      <c r="I21" s="167"/>
      <c r="K21" s="62"/>
    </row>
    <row r="22" spans="1:11" s="11" customFormat="1" ht="12.75" customHeight="1" x14ac:dyDescent="0.2">
      <c r="A22" s="503">
        <v>4</v>
      </c>
      <c r="B22" s="503"/>
      <c r="C22" s="105"/>
      <c r="D22" s="106" t="s">
        <v>2</v>
      </c>
      <c r="E22" s="153">
        <f>F22/F34</f>
        <v>0.22690395954617973</v>
      </c>
      <c r="F22" s="172">
        <f>_4</f>
        <v>6500000</v>
      </c>
      <c r="G22" s="103"/>
      <c r="H22" s="131">
        <v>0</v>
      </c>
      <c r="I22" s="172">
        <f>F22*H22</f>
        <v>0</v>
      </c>
      <c r="K22" s="49"/>
    </row>
    <row r="23" spans="1:11" ht="2.25" customHeight="1" x14ac:dyDescent="0.2">
      <c r="B23" s="4"/>
      <c r="C23" s="6"/>
      <c r="D23" s="1"/>
      <c r="E23" s="154"/>
      <c r="F23" s="167"/>
      <c r="G23" s="1"/>
      <c r="H23" s="421"/>
      <c r="I23" s="167"/>
      <c r="K23" s="62"/>
    </row>
    <row r="24" spans="1:11" s="12" customFormat="1" ht="12.95" customHeight="1" x14ac:dyDescent="0.2">
      <c r="A24" s="503">
        <v>5</v>
      </c>
      <c r="B24" s="503"/>
      <c r="C24" s="105"/>
      <c r="D24" s="106" t="s">
        <v>9</v>
      </c>
      <c r="E24" s="153">
        <f>F24/F34</f>
        <v>5.7598697423261007E-2</v>
      </c>
      <c r="F24" s="327">
        <f>_5</f>
        <v>1650000</v>
      </c>
      <c r="G24" s="103"/>
      <c r="H24" s="131">
        <v>0</v>
      </c>
      <c r="I24" s="327">
        <f>F24*H24</f>
        <v>0</v>
      </c>
      <c r="K24" s="49"/>
    </row>
    <row r="25" spans="1:11" ht="2.25" customHeight="1" x14ac:dyDescent="0.2">
      <c r="B25" s="4"/>
      <c r="C25" s="6"/>
      <c r="D25" s="1"/>
      <c r="E25" s="154"/>
      <c r="F25" s="167"/>
      <c r="G25" s="1"/>
      <c r="H25" s="421"/>
      <c r="I25" s="167"/>
      <c r="K25" s="62"/>
    </row>
    <row r="26" spans="1:11" s="11" customFormat="1" ht="12.95" customHeight="1" x14ac:dyDescent="0.2">
      <c r="A26" s="503">
        <v>6</v>
      </c>
      <c r="B26" s="503"/>
      <c r="C26" s="105"/>
      <c r="D26" s="106" t="s">
        <v>3</v>
      </c>
      <c r="E26" s="153">
        <f>F26/F34</f>
        <v>1.7454150734321518E-2</v>
      </c>
      <c r="F26" s="172">
        <f>_6</f>
        <v>500000</v>
      </c>
      <c r="G26" s="103"/>
      <c r="H26" s="131">
        <v>0</v>
      </c>
      <c r="I26" s="172">
        <f>F26*H26</f>
        <v>0</v>
      </c>
      <c r="K26" s="49"/>
    </row>
    <row r="27" spans="1:11" ht="2.25" customHeight="1" x14ac:dyDescent="0.2">
      <c r="B27" s="4"/>
      <c r="C27" s="6"/>
      <c r="D27" s="1"/>
      <c r="E27" s="154"/>
      <c r="F27" s="167"/>
      <c r="G27" s="1"/>
      <c r="H27" s="421"/>
      <c r="I27" s="167"/>
      <c r="K27" s="62"/>
    </row>
    <row r="28" spans="1:11" s="12" customFormat="1" ht="12.95" customHeight="1" x14ac:dyDescent="0.2">
      <c r="A28" s="503">
        <v>7</v>
      </c>
      <c r="B28" s="503"/>
      <c r="C28" s="105"/>
      <c r="D28" s="106" t="s">
        <v>79</v>
      </c>
      <c r="E28" s="153">
        <f>F28/F34</f>
        <v>4.1557674876936845E-2</v>
      </c>
      <c r="F28" s="172">
        <f>_7</f>
        <v>1190481.1499999999</v>
      </c>
      <c r="G28" s="103"/>
      <c r="H28" s="131">
        <v>0</v>
      </c>
      <c r="I28" s="172">
        <f>F28*H28</f>
        <v>0</v>
      </c>
      <c r="K28" s="49"/>
    </row>
    <row r="29" spans="1:11" ht="2.25" customHeight="1" x14ac:dyDescent="0.2">
      <c r="B29" s="4"/>
      <c r="C29" s="6"/>
      <c r="D29" s="1"/>
      <c r="E29" s="154"/>
      <c r="F29" s="167"/>
      <c r="G29" s="1"/>
      <c r="H29" s="421"/>
      <c r="I29" s="167"/>
      <c r="K29" s="62"/>
    </row>
    <row r="30" spans="1:11" s="12" customFormat="1" ht="12.95" customHeight="1" x14ac:dyDescent="0.2">
      <c r="A30" s="503">
        <v>8</v>
      </c>
      <c r="B30" s="503"/>
      <c r="C30" s="105"/>
      <c r="D30" s="106" t="s">
        <v>76</v>
      </c>
      <c r="E30" s="153">
        <f>F30/F34</f>
        <v>1.2566988528711492E-3</v>
      </c>
      <c r="F30" s="172">
        <f>_8</f>
        <v>36000</v>
      </c>
      <c r="G30" s="103"/>
      <c r="H30" s="131">
        <v>0</v>
      </c>
      <c r="I30" s="172">
        <f>F30*H30</f>
        <v>0</v>
      </c>
      <c r="K30" s="49"/>
    </row>
    <row r="31" spans="1:11" ht="2.25" customHeight="1" x14ac:dyDescent="0.2">
      <c r="B31" s="4"/>
      <c r="C31" s="6"/>
      <c r="D31" s="1"/>
      <c r="E31" s="154"/>
      <c r="F31" s="167"/>
      <c r="G31" s="1"/>
      <c r="H31" s="421"/>
      <c r="I31" s="167"/>
      <c r="K31" s="62"/>
    </row>
    <row r="32" spans="1:11" s="12" customFormat="1" ht="12.95" customHeight="1" x14ac:dyDescent="0.2">
      <c r="A32" s="503">
        <v>9</v>
      </c>
      <c r="B32" s="503"/>
      <c r="C32" s="105"/>
      <c r="D32" s="106" t="s">
        <v>10</v>
      </c>
      <c r="E32" s="153">
        <f>F32/F34</f>
        <v>5.5853282349828857E-2</v>
      </c>
      <c r="F32" s="172">
        <f>_9</f>
        <v>1600000</v>
      </c>
      <c r="G32" s="103"/>
      <c r="H32" s="131">
        <v>0.01</v>
      </c>
      <c r="I32" s="172">
        <f>F32*H32</f>
        <v>16000</v>
      </c>
      <c r="K32" s="49"/>
    </row>
    <row r="33" spans="1:13" ht="12" customHeight="1" x14ac:dyDescent="0.2">
      <c r="B33" s="17"/>
      <c r="C33" s="5"/>
      <c r="D33" s="1"/>
      <c r="E33" s="46"/>
      <c r="F33" s="1"/>
      <c r="G33" s="1"/>
      <c r="H33" s="134"/>
      <c r="I33" s="1"/>
      <c r="K33" s="1"/>
    </row>
    <row r="34" spans="1:13" ht="12.95" customHeight="1" x14ac:dyDescent="0.25">
      <c r="A34" s="139" t="s">
        <v>12</v>
      </c>
      <c r="B34" s="140"/>
      <c r="C34" s="140"/>
      <c r="D34" s="140"/>
      <c r="E34" s="101">
        <f>SUM(E7:E32)</f>
        <v>1</v>
      </c>
      <c r="F34" s="115">
        <f>SUM(F7+F9+F11+F22+F24+F26+F28+F30+F32)</f>
        <v>28646481.149999999</v>
      </c>
      <c r="G34" s="91"/>
      <c r="H34" s="209"/>
      <c r="I34" s="29"/>
      <c r="K34" s="29"/>
    </row>
    <row r="35" spans="1:13" ht="4.5" customHeight="1" x14ac:dyDescent="0.2">
      <c r="B35" s="13"/>
      <c r="C35" s="13"/>
      <c r="D35" s="14"/>
      <c r="E35" s="1"/>
      <c r="F35" s="46"/>
      <c r="G35" s="14"/>
      <c r="H35" s="19"/>
      <c r="I35" s="15"/>
      <c r="K35" s="18"/>
    </row>
    <row r="36" spans="1:13" s="20" customFormat="1" ht="12.95" customHeight="1" x14ac:dyDescent="0.3">
      <c r="A36" s="336" t="s">
        <v>31</v>
      </c>
      <c r="B36" s="337"/>
      <c r="C36" s="337"/>
      <c r="D36" s="337"/>
      <c r="E36" s="334"/>
      <c r="F36" s="334"/>
      <c r="G36" s="334"/>
      <c r="H36" s="312"/>
      <c r="I36" s="141">
        <f>SUM(I7:I32)</f>
        <v>8116000</v>
      </c>
      <c r="J36" s="91"/>
      <c r="K36" s="63"/>
    </row>
    <row r="37" spans="1:13" s="21" customFormat="1" ht="13.5" customHeight="1" x14ac:dyDescent="0.25">
      <c r="B37" s="23"/>
      <c r="C37" s="23"/>
      <c r="D37" s="22"/>
      <c r="E37" s="45"/>
      <c r="F37" s="45"/>
      <c r="G37" s="22"/>
      <c r="H37" s="45"/>
      <c r="I37" s="185"/>
      <c r="J37" s="185"/>
      <c r="K37" s="28"/>
    </row>
    <row r="38" spans="1:13" ht="12.75" customHeight="1" x14ac:dyDescent="0.2">
      <c r="A38" s="313" t="s">
        <v>63</v>
      </c>
      <c r="B38" s="314"/>
      <c r="C38" s="314"/>
      <c r="D38" s="314"/>
      <c r="E38" s="314"/>
      <c r="F38" s="314"/>
      <c r="G38" s="314"/>
      <c r="H38" s="314"/>
      <c r="I38" s="321"/>
      <c r="K38" s="18"/>
    </row>
    <row r="39" spans="1:13" ht="4.5" customHeight="1" x14ac:dyDescent="0.2">
      <c r="A39" s="188"/>
      <c r="B39" s="189"/>
      <c r="C39" s="189"/>
      <c r="D39" s="189"/>
      <c r="E39" s="189"/>
      <c r="F39" s="189"/>
      <c r="G39" s="189"/>
      <c r="H39" s="189"/>
      <c r="I39" s="213"/>
      <c r="J39" s="58"/>
      <c r="K39" s="18"/>
    </row>
    <row r="40" spans="1:13" ht="12.75" customHeight="1" x14ac:dyDescent="0.2">
      <c r="A40" s="24"/>
      <c r="B40" s="24"/>
      <c r="C40" s="24"/>
      <c r="D40" s="1"/>
      <c r="E40" s="1"/>
      <c r="F40" s="190" t="s">
        <v>5</v>
      </c>
      <c r="H40" s="191" t="s">
        <v>4</v>
      </c>
      <c r="I40" s="292"/>
      <c r="K40" s="57"/>
    </row>
    <row r="41" spans="1:13" ht="12.75" customHeight="1" x14ac:dyDescent="0.2">
      <c r="B41" s="25" t="s">
        <v>45</v>
      </c>
      <c r="C41" s="59"/>
      <c r="D41" s="50"/>
      <c r="E41" s="50"/>
      <c r="F41" s="146">
        <v>20</v>
      </c>
      <c r="H41" s="192" t="s">
        <v>56</v>
      </c>
      <c r="I41" s="292"/>
      <c r="K41" s="57"/>
    </row>
    <row r="42" spans="1:13" ht="12.75" customHeight="1" x14ac:dyDescent="0.2">
      <c r="B42" s="26" t="s">
        <v>46</v>
      </c>
      <c r="C42" s="60"/>
      <c r="D42" s="51"/>
      <c r="E42" s="51"/>
      <c r="F42" s="146">
        <v>2</v>
      </c>
      <c r="G42" s="193"/>
      <c r="H42" s="193" t="s">
        <v>6</v>
      </c>
      <c r="I42" s="292"/>
      <c r="K42" s="57"/>
    </row>
    <row r="43" spans="1:13" ht="12.75" customHeight="1" x14ac:dyDescent="0.2">
      <c r="B43" s="26" t="s">
        <v>47</v>
      </c>
      <c r="C43" s="60"/>
      <c r="D43" s="51"/>
      <c r="E43" s="51"/>
      <c r="F43" s="146">
        <v>1</v>
      </c>
      <c r="G43" s="193"/>
      <c r="H43" s="193" t="s">
        <v>6</v>
      </c>
      <c r="I43" s="292"/>
      <c r="K43" s="57"/>
    </row>
    <row r="44" spans="1:13" ht="12.75" customHeight="1" x14ac:dyDescent="0.2">
      <c r="B44" s="26" t="s">
        <v>48</v>
      </c>
      <c r="C44" s="51"/>
      <c r="D44" s="51"/>
      <c r="E44" s="51"/>
      <c r="F44" s="146">
        <v>2</v>
      </c>
      <c r="G44" s="193"/>
      <c r="H44" s="193" t="s">
        <v>6</v>
      </c>
      <c r="I44" s="292"/>
      <c r="K44" s="57"/>
    </row>
    <row r="45" spans="1:13" ht="4.5" customHeight="1" x14ac:dyDescent="0.2">
      <c r="A45" s="39"/>
      <c r="B45" s="39"/>
      <c r="C45" s="39"/>
      <c r="D45" s="1"/>
      <c r="E45" s="1"/>
      <c r="F45" s="194"/>
      <c r="H45" s="194"/>
      <c r="I45" s="292"/>
      <c r="K45" s="57"/>
    </row>
    <row r="46" spans="1:13" ht="12.75" customHeight="1" x14ac:dyDescent="0.25">
      <c r="B46" s="26" t="s">
        <v>106</v>
      </c>
      <c r="C46" s="60"/>
      <c r="D46" s="51"/>
      <c r="E46" s="51"/>
      <c r="F46" s="373"/>
      <c r="G46" s="308"/>
      <c r="H46" s="193" t="s">
        <v>55</v>
      </c>
      <c r="I46" s="292"/>
      <c r="J46" s="57"/>
      <c r="K46" s="366"/>
      <c r="L46" s="366"/>
      <c r="M46" s="366"/>
    </row>
    <row r="47" spans="1:13" ht="12.75" customHeight="1" x14ac:dyDescent="0.25">
      <c r="B47" s="26" t="s">
        <v>142</v>
      </c>
      <c r="C47" s="60"/>
      <c r="D47" s="51"/>
      <c r="E47" s="51"/>
      <c r="F47" s="373"/>
      <c r="G47" s="308"/>
      <c r="H47" s="193" t="s">
        <v>55</v>
      </c>
      <c r="I47" s="292"/>
      <c r="J47" s="57"/>
      <c r="K47" s="366"/>
      <c r="L47" s="366"/>
      <c r="M47" s="366"/>
    </row>
    <row r="48" spans="1:13" ht="12.75" customHeight="1" x14ac:dyDescent="0.25">
      <c r="B48" s="26" t="s">
        <v>108</v>
      </c>
      <c r="C48" s="60"/>
      <c r="D48" s="51"/>
      <c r="E48" s="51"/>
      <c r="F48" s="373"/>
      <c r="G48" s="308"/>
      <c r="H48" s="193" t="s">
        <v>55</v>
      </c>
      <c r="I48" s="292"/>
      <c r="J48" s="57"/>
      <c r="K48" s="366"/>
      <c r="L48" s="366"/>
      <c r="M48" s="366"/>
    </row>
    <row r="49" spans="1:13" ht="12.75" customHeight="1" x14ac:dyDescent="0.25">
      <c r="B49" s="26" t="s">
        <v>109</v>
      </c>
      <c r="C49" s="60"/>
      <c r="D49" s="51"/>
      <c r="E49" s="51"/>
      <c r="F49" s="373"/>
      <c r="G49" s="308"/>
      <c r="H49" s="193" t="s">
        <v>55</v>
      </c>
      <c r="I49" s="292"/>
      <c r="J49" s="57"/>
      <c r="K49" s="366"/>
      <c r="L49" s="366"/>
      <c r="M49" s="366"/>
    </row>
    <row r="50" spans="1:13" ht="12.75" customHeight="1" x14ac:dyDescent="0.25">
      <c r="B50" s="26" t="s">
        <v>139</v>
      </c>
      <c r="C50" s="60"/>
      <c r="D50" s="51"/>
      <c r="E50" s="51"/>
      <c r="F50" s="373"/>
      <c r="G50" s="308"/>
      <c r="H50" s="193" t="s">
        <v>128</v>
      </c>
      <c r="I50" s="292"/>
      <c r="J50" s="57"/>
      <c r="K50" s="366"/>
      <c r="L50" s="366"/>
      <c r="M50" s="366"/>
    </row>
    <row r="51" spans="1:13" ht="12.75" customHeight="1" x14ac:dyDescent="0.25">
      <c r="B51" s="26" t="s">
        <v>141</v>
      </c>
      <c r="C51" s="60"/>
      <c r="D51" s="51"/>
      <c r="E51" s="51"/>
      <c r="F51" s="373"/>
      <c r="G51" s="308"/>
      <c r="H51" s="193" t="s">
        <v>125</v>
      </c>
      <c r="I51" s="292"/>
      <c r="J51" s="57"/>
      <c r="K51" s="366"/>
      <c r="L51" s="366"/>
      <c r="M51" s="366"/>
    </row>
    <row r="52" spans="1:13" ht="12.75" customHeight="1" x14ac:dyDescent="0.25">
      <c r="B52" s="26" t="s">
        <v>140</v>
      </c>
      <c r="C52" s="60"/>
      <c r="D52" s="51"/>
      <c r="E52" s="51"/>
      <c r="F52" s="373"/>
      <c r="G52" s="308"/>
      <c r="H52" s="193" t="s">
        <v>6</v>
      </c>
      <c r="I52" s="292"/>
      <c r="J52" s="1"/>
      <c r="K52" s="366"/>
    </row>
    <row r="53" spans="1:13" ht="12.75" customHeight="1" x14ac:dyDescent="0.25">
      <c r="B53" s="26" t="s">
        <v>143</v>
      </c>
      <c r="C53" s="60"/>
      <c r="D53" s="51"/>
      <c r="E53" s="51"/>
      <c r="F53" s="373"/>
      <c r="G53" s="308"/>
      <c r="H53" s="193" t="s">
        <v>55</v>
      </c>
      <c r="I53" s="292"/>
      <c r="J53" s="1"/>
      <c r="K53" s="366"/>
    </row>
    <row r="54" spans="1:13" ht="12.75" customHeight="1" x14ac:dyDescent="0.25">
      <c r="B54" s="26" t="s">
        <v>144</v>
      </c>
      <c r="C54" s="60"/>
      <c r="D54" s="51"/>
      <c r="E54" s="51"/>
      <c r="F54" s="373"/>
      <c r="G54" s="308"/>
      <c r="H54" s="193" t="s">
        <v>55</v>
      </c>
      <c r="I54" s="292"/>
      <c r="J54" s="1"/>
      <c r="K54" s="366"/>
    </row>
    <row r="55" spans="1:13" ht="4.5" customHeight="1" x14ac:dyDescent="0.2">
      <c r="A55" s="39"/>
      <c r="B55" s="39"/>
      <c r="C55" s="1"/>
      <c r="D55" s="196"/>
      <c r="E55" s="196"/>
      <c r="F55" s="196"/>
      <c r="H55" s="196"/>
      <c r="I55" s="292"/>
      <c r="K55" s="1"/>
    </row>
    <row r="56" spans="1:13" ht="12.75" customHeight="1" x14ac:dyDescent="0.2">
      <c r="B56" s="24" t="s">
        <v>44</v>
      </c>
      <c r="C56" s="1"/>
      <c r="D56" s="195"/>
      <c r="E56" s="196"/>
      <c r="F56" s="214">
        <f>SUM(F41:F54)</f>
        <v>25</v>
      </c>
      <c r="H56" s="196"/>
      <c r="I56" s="292"/>
      <c r="K56" s="1"/>
    </row>
    <row r="57" spans="1:13" ht="12.95" customHeight="1" x14ac:dyDescent="0.2">
      <c r="B57" s="39"/>
      <c r="C57" s="1"/>
      <c r="D57" s="196"/>
      <c r="E57" s="196"/>
      <c r="F57" s="196"/>
      <c r="H57" s="196"/>
      <c r="I57" s="292"/>
      <c r="K57" s="1"/>
    </row>
    <row r="58" spans="1:13" ht="12.95" customHeight="1" x14ac:dyDescent="0.2">
      <c r="A58" s="340" t="s">
        <v>136</v>
      </c>
      <c r="B58" s="313"/>
      <c r="C58" s="314"/>
      <c r="D58" s="314"/>
      <c r="E58" s="314"/>
      <c r="F58" s="314"/>
      <c r="G58" s="315"/>
      <c r="H58" s="314"/>
      <c r="I58" s="320"/>
      <c r="K58" s="18"/>
    </row>
    <row r="59" spans="1:13" ht="4.5" customHeight="1" x14ac:dyDescent="0.2">
      <c r="A59" s="198"/>
      <c r="B59" s="198"/>
      <c r="C59" s="198"/>
      <c r="D59" s="198"/>
      <c r="F59" s="8"/>
      <c r="I59" s="1"/>
      <c r="K59" s="18"/>
    </row>
    <row r="60" spans="1:13" ht="14.25" customHeight="1" x14ac:dyDescent="0.2">
      <c r="A60" s="199" t="s">
        <v>11</v>
      </c>
      <c r="B60" s="199"/>
      <c r="C60" s="1"/>
      <c r="F60" s="221">
        <f>I36</f>
        <v>8116000</v>
      </c>
      <c r="I60" s="1"/>
      <c r="K60" s="18"/>
    </row>
    <row r="61" spans="1:13" s="245" customFormat="1" ht="14.25" customHeight="1" x14ac:dyDescent="0.3">
      <c r="A61" s="244" t="s">
        <v>58</v>
      </c>
      <c r="B61" s="244"/>
      <c r="C61" s="244"/>
      <c r="F61" s="246">
        <f>0.03*F56+0.73</f>
        <v>1.48</v>
      </c>
      <c r="H61" s="247"/>
      <c r="I61" s="332"/>
      <c r="K61" s="18"/>
    </row>
    <row r="62" spans="1:13" ht="14.25" customHeight="1" x14ac:dyDescent="0.25">
      <c r="A62" s="27" t="s">
        <v>61</v>
      </c>
      <c r="B62" s="27"/>
      <c r="C62" s="27"/>
      <c r="D62" s="1"/>
      <c r="E62" s="1"/>
      <c r="F62" s="239">
        <f>ROUND(IF(F60&lt;2000000,202*F60^(-0.2248)*F61/100,(37.8*F60^(-0.109)*F61/100)),4)</f>
        <v>9.8799999999999999E-2</v>
      </c>
      <c r="I62" s="338"/>
      <c r="K62" s="18"/>
    </row>
    <row r="63" spans="1:13" s="245" customFormat="1" ht="14.25" customHeight="1" x14ac:dyDescent="0.3">
      <c r="A63" s="244" t="s">
        <v>70</v>
      </c>
      <c r="B63" s="244"/>
      <c r="C63" s="244"/>
      <c r="F63" s="330">
        <f>202*F60^(-0.2248)*F61/100</f>
        <v>8.3635950058811415E-2</v>
      </c>
      <c r="G63" s="1" t="str">
        <f>IF(F60&lt;2000000,"(PL + ÖBA)","")</f>
        <v/>
      </c>
      <c r="I63" s="332"/>
      <c r="K63" s="18"/>
    </row>
    <row r="64" spans="1:13" s="245" customFormat="1" ht="14.25" customHeight="1" x14ac:dyDescent="0.3">
      <c r="A64" s="244" t="s">
        <v>71</v>
      </c>
      <c r="B64" s="244"/>
      <c r="C64" s="244"/>
      <c r="D64" s="244"/>
      <c r="F64" s="330">
        <f>37.8*F60^(-0.109)*F61/100</f>
        <v>9.8772315063918897E-2</v>
      </c>
      <c r="G64" s="241" t="str">
        <f>IF(F60&gt;1999999.99,"(PL + ÖBA)","")</f>
        <v>(PL + ÖBA)</v>
      </c>
      <c r="I64" s="332"/>
      <c r="K64" s="18"/>
    </row>
    <row r="65" spans="1:13" ht="14.25" customHeight="1" x14ac:dyDescent="0.3">
      <c r="A65" s="294" t="s">
        <v>147</v>
      </c>
      <c r="B65" s="24"/>
      <c r="C65" s="24"/>
      <c r="D65" s="295"/>
      <c r="E65" s="201"/>
      <c r="F65" s="305">
        <f>ROUND(F60*F62,2)</f>
        <v>801860.8</v>
      </c>
      <c r="G65" s="365" t="s">
        <v>138</v>
      </c>
      <c r="H65" s="1"/>
      <c r="I65" s="1"/>
      <c r="J65" s="15"/>
      <c r="K65" s="18"/>
    </row>
    <row r="66" spans="1:13" ht="15" customHeight="1" x14ac:dyDescent="0.2">
      <c r="A66" s="294"/>
      <c r="B66" s="24"/>
      <c r="C66" s="24"/>
      <c r="D66" s="295"/>
      <c r="E66" s="201"/>
      <c r="F66" s="307"/>
      <c r="G66" s="202"/>
      <c r="H66" s="202"/>
      <c r="I66" s="1"/>
      <c r="K66" s="18"/>
    </row>
    <row r="67" spans="1:13" ht="12.95" customHeight="1" x14ac:dyDescent="0.2">
      <c r="A67" s="359" t="s">
        <v>135</v>
      </c>
      <c r="B67" s="316"/>
      <c r="C67" s="316"/>
      <c r="D67" s="317"/>
      <c r="E67" s="317"/>
      <c r="F67" s="318"/>
      <c r="G67" s="315"/>
      <c r="H67" s="318"/>
      <c r="I67" s="319"/>
      <c r="L67" s="453"/>
    </row>
    <row r="68" spans="1:13" ht="4.5" customHeight="1" x14ac:dyDescent="0.2">
      <c r="A68" s="306"/>
      <c r="B68" s="39"/>
      <c r="C68" s="39"/>
      <c r="D68" s="201"/>
      <c r="E68" s="201"/>
      <c r="F68" s="202"/>
      <c r="G68" s="41"/>
      <c r="H68" s="202"/>
      <c r="I68" s="40"/>
      <c r="J68" s="58"/>
      <c r="L68" s="453"/>
    </row>
    <row r="69" spans="1:13" ht="12.75" customHeight="1" x14ac:dyDescent="0.2">
      <c r="A69" s="203" t="s">
        <v>52</v>
      </c>
      <c r="B69" s="203"/>
      <c r="C69" s="204"/>
      <c r="D69" s="1"/>
      <c r="E69" s="271">
        <v>0.02</v>
      </c>
      <c r="F69" s="233">
        <v>0</v>
      </c>
      <c r="H69" s="205">
        <v>1</v>
      </c>
      <c r="I69" s="415">
        <f>IF($F$60=0,"-",$F$65*F69)</f>
        <v>0</v>
      </c>
      <c r="L69" s="455"/>
    </row>
    <row r="70" spans="1:13" ht="12.75" customHeight="1" x14ac:dyDescent="0.2">
      <c r="A70" s="203" t="s">
        <v>35</v>
      </c>
      <c r="B70" s="203"/>
      <c r="C70" s="204"/>
      <c r="D70" s="1"/>
      <c r="E70" s="272">
        <v>0.08</v>
      </c>
      <c r="F70" s="234">
        <v>0</v>
      </c>
      <c r="H70" s="205">
        <v>2</v>
      </c>
      <c r="I70" s="415">
        <f t="shared" ref="I70:I81" si="1">IF($F$60=0,"-",$F$65*F70)</f>
        <v>0</v>
      </c>
      <c r="L70" s="455"/>
    </row>
    <row r="71" spans="1:13" ht="12.75" customHeight="1" x14ac:dyDescent="0.2">
      <c r="A71" s="203" t="s">
        <v>36</v>
      </c>
      <c r="B71" s="203"/>
      <c r="C71" s="204"/>
      <c r="D71" s="1"/>
      <c r="E71" s="272">
        <v>0.12</v>
      </c>
      <c r="F71" s="234">
        <v>0</v>
      </c>
      <c r="H71" s="205">
        <v>3</v>
      </c>
      <c r="I71" s="415">
        <f t="shared" si="1"/>
        <v>0</v>
      </c>
    </row>
    <row r="72" spans="1:13" ht="12.75" customHeight="1" x14ac:dyDescent="0.2">
      <c r="A72" s="203" t="s">
        <v>37</v>
      </c>
      <c r="B72" s="203"/>
      <c r="C72" s="204"/>
      <c r="D72" s="1"/>
      <c r="E72" s="272">
        <v>0.05</v>
      </c>
      <c r="F72" s="234">
        <v>0</v>
      </c>
      <c r="H72" s="205">
        <v>4</v>
      </c>
      <c r="I72" s="415">
        <f t="shared" si="1"/>
        <v>0</v>
      </c>
      <c r="L72" s="1" t="s">
        <v>72</v>
      </c>
    </row>
    <row r="73" spans="1:13" ht="12.75" customHeight="1" x14ac:dyDescent="0.2">
      <c r="A73" s="203" t="s">
        <v>38</v>
      </c>
      <c r="B73" s="203"/>
      <c r="C73" s="204"/>
      <c r="D73" s="1"/>
      <c r="E73" s="272">
        <v>0.22</v>
      </c>
      <c r="F73" s="234">
        <v>0</v>
      </c>
      <c r="H73" s="205">
        <v>5</v>
      </c>
      <c r="I73" s="415">
        <f t="shared" si="1"/>
        <v>0</v>
      </c>
    </row>
    <row r="74" spans="1:13" ht="12.75" customHeight="1" x14ac:dyDescent="0.2">
      <c r="A74" s="203" t="s">
        <v>39</v>
      </c>
      <c r="B74" s="203"/>
      <c r="C74" s="204"/>
      <c r="D74" s="1"/>
      <c r="E74" s="272">
        <v>7.0000000000000007E-2</v>
      </c>
      <c r="F74" s="234">
        <v>0</v>
      </c>
      <c r="H74" s="205">
        <v>6</v>
      </c>
      <c r="I74" s="415">
        <f t="shared" si="1"/>
        <v>0</v>
      </c>
    </row>
    <row r="75" spans="1:13" ht="12.75" customHeight="1" x14ac:dyDescent="0.2">
      <c r="A75" s="203" t="s">
        <v>57</v>
      </c>
      <c r="B75" s="203"/>
      <c r="C75" s="204"/>
      <c r="D75" s="1"/>
      <c r="E75" s="272">
        <v>0.03</v>
      </c>
      <c r="F75" s="234">
        <v>0</v>
      </c>
      <c r="H75" s="205"/>
      <c r="I75" s="415">
        <f t="shared" si="1"/>
        <v>0</v>
      </c>
    </row>
    <row r="76" spans="1:13" ht="12.75" customHeight="1" x14ac:dyDescent="0.2">
      <c r="A76" s="203" t="s">
        <v>53</v>
      </c>
      <c r="B76" s="203"/>
      <c r="C76" s="204"/>
      <c r="D76" s="1"/>
      <c r="E76" s="272">
        <v>0.04</v>
      </c>
      <c r="F76" s="234">
        <v>0</v>
      </c>
      <c r="H76" s="205">
        <v>7</v>
      </c>
      <c r="I76" s="415">
        <f t="shared" si="1"/>
        <v>0</v>
      </c>
    </row>
    <row r="77" spans="1:13" ht="12.75" customHeight="1" x14ac:dyDescent="0.2">
      <c r="A77" s="186" t="s">
        <v>60</v>
      </c>
      <c r="B77" s="186"/>
      <c r="C77" s="204"/>
      <c r="D77" s="1"/>
      <c r="E77" s="272">
        <v>0.35</v>
      </c>
      <c r="F77" s="234">
        <v>0.35</v>
      </c>
      <c r="H77" s="205">
        <v>8</v>
      </c>
      <c r="I77" s="415">
        <f t="shared" si="1"/>
        <v>280651.27999999997</v>
      </c>
      <c r="K77" s="454" t="s">
        <v>183</v>
      </c>
    </row>
    <row r="78" spans="1:13" ht="12.75" customHeight="1" x14ac:dyDescent="0.2">
      <c r="A78" s="277" t="s">
        <v>54</v>
      </c>
      <c r="B78" s="277"/>
      <c r="C78" s="278"/>
      <c r="D78" s="1"/>
      <c r="E78" s="276">
        <v>0.02</v>
      </c>
      <c r="F78" s="235">
        <v>0</v>
      </c>
      <c r="H78" s="279">
        <v>9</v>
      </c>
      <c r="I78" s="415">
        <f t="shared" si="1"/>
        <v>0</v>
      </c>
      <c r="K78" s="456" t="s">
        <v>185</v>
      </c>
    </row>
    <row r="79" spans="1:13" s="286" customFormat="1" ht="12.75" customHeight="1" x14ac:dyDescent="0.25">
      <c r="A79" s="386" t="s">
        <v>129</v>
      </c>
      <c r="B79" s="386"/>
      <c r="C79" s="387"/>
      <c r="E79" s="388"/>
      <c r="F79" s="409">
        <v>0</v>
      </c>
      <c r="I79" s="416">
        <f t="shared" si="1"/>
        <v>0</v>
      </c>
      <c r="J79" s="284"/>
      <c r="K79" s="457" t="s">
        <v>187</v>
      </c>
      <c r="L79" s="285"/>
      <c r="M79" s="285"/>
    </row>
    <row r="80" spans="1:13" s="286" customFormat="1" ht="12.75" customHeight="1" x14ac:dyDescent="0.25">
      <c r="A80" s="386" t="s">
        <v>129</v>
      </c>
      <c r="B80" s="386"/>
      <c r="C80" s="387"/>
      <c r="E80" s="388"/>
      <c r="F80" s="409">
        <v>0</v>
      </c>
      <c r="I80" s="416">
        <f t="shared" si="1"/>
        <v>0</v>
      </c>
      <c r="J80" s="284"/>
      <c r="K80" s="457" t="s">
        <v>191</v>
      </c>
      <c r="L80" s="285"/>
      <c r="M80" s="285"/>
    </row>
    <row r="81" spans="1:14" s="286" customFormat="1" ht="12.75" customHeight="1" x14ac:dyDescent="0.25">
      <c r="A81" s="280" t="s">
        <v>129</v>
      </c>
      <c r="B81" s="280"/>
      <c r="C81" s="281"/>
      <c r="D81" s="282"/>
      <c r="E81" s="283"/>
      <c r="F81" s="410">
        <v>0</v>
      </c>
      <c r="G81" s="282"/>
      <c r="I81" s="416">
        <f t="shared" si="1"/>
        <v>0</v>
      </c>
      <c r="J81" s="284"/>
      <c r="K81" s="457" t="s">
        <v>202</v>
      </c>
      <c r="L81" s="285"/>
      <c r="M81" s="285"/>
    </row>
    <row r="82" spans="1:14" s="245" customFormat="1" ht="13.5" customHeight="1" x14ac:dyDescent="0.2">
      <c r="A82" s="206" t="s">
        <v>146</v>
      </c>
      <c r="B82" s="248"/>
      <c r="C82" s="244"/>
      <c r="E82" s="411">
        <f>SUM(E69:E78)</f>
        <v>1</v>
      </c>
      <c r="F82" s="249">
        <f>SUM(F69:F81)</f>
        <v>0.35</v>
      </c>
      <c r="H82" s="414"/>
      <c r="I82" s="417">
        <f>SUM(I69:I81)</f>
        <v>280651.27999999997</v>
      </c>
      <c r="K82" s="58"/>
    </row>
    <row r="83" spans="1:14" ht="12.75" customHeight="1" x14ac:dyDescent="0.25">
      <c r="F83" s="135"/>
      <c r="J83" s="349"/>
    </row>
    <row r="84" spans="1:14" ht="12.75" customHeight="1" x14ac:dyDescent="0.2">
      <c r="A84" s="359" t="s">
        <v>137</v>
      </c>
      <c r="B84" s="359"/>
      <c r="C84" s="359"/>
      <c r="D84" s="359"/>
      <c r="E84" s="359"/>
      <c r="F84" s="359"/>
      <c r="G84" s="359"/>
      <c r="H84" s="359"/>
      <c r="I84" s="359"/>
      <c r="J84" s="142"/>
      <c r="K84" s="3"/>
      <c r="L84" s="138"/>
      <c r="M84" s="138"/>
    </row>
    <row r="85" spans="1:14" s="31" customFormat="1" ht="4.5" customHeight="1" x14ac:dyDescent="0.2">
      <c r="B85" s="32"/>
      <c r="C85" s="33"/>
      <c r="D85" s="33"/>
      <c r="E85" s="64"/>
      <c r="F85" s="66"/>
      <c r="G85" s="92"/>
      <c r="H85" s="92"/>
      <c r="I85" s="116"/>
      <c r="K85" s="35"/>
    </row>
    <row r="86" spans="1:14" ht="12.75" customHeight="1" x14ac:dyDescent="0.3">
      <c r="A86" s="294" t="s">
        <v>59</v>
      </c>
      <c r="B86" s="341"/>
      <c r="C86" s="341"/>
      <c r="D86" s="341"/>
      <c r="E86" s="299"/>
      <c r="F86" s="360"/>
      <c r="G86" s="413"/>
      <c r="H86" s="413"/>
      <c r="I86" s="401">
        <f>I82</f>
        <v>280651.27999999997</v>
      </c>
      <c r="J86" s="341"/>
      <c r="K86" s="342"/>
      <c r="L86" s="342"/>
      <c r="M86" s="342"/>
    </row>
    <row r="87" spans="1:14" ht="12.75" customHeight="1" x14ac:dyDescent="0.25">
      <c r="A87" s="47" t="s">
        <v>80</v>
      </c>
      <c r="F87" s="357">
        <v>0</v>
      </c>
      <c r="G87" s="379"/>
      <c r="H87" s="358">
        <v>0</v>
      </c>
      <c r="I87" s="401">
        <f>F87*H87</f>
        <v>0</v>
      </c>
      <c r="L87" s="342"/>
      <c r="M87" s="342"/>
      <c r="N87" s="342"/>
    </row>
    <row r="88" spans="1:14" s="31" customFormat="1" ht="4.5" customHeight="1" x14ac:dyDescent="0.2">
      <c r="B88" s="32"/>
      <c r="C88" s="33"/>
      <c r="D88" s="33"/>
      <c r="E88" s="64"/>
      <c r="F88" s="66"/>
      <c r="G88" s="92"/>
      <c r="H88" s="92"/>
      <c r="I88" s="116"/>
      <c r="K88" s="35"/>
    </row>
    <row r="89" spans="1:14" s="31" customFormat="1" ht="12.75" x14ac:dyDescent="0.2">
      <c r="A89" s="343" t="s">
        <v>148</v>
      </c>
      <c r="B89" s="344"/>
      <c r="C89" s="345"/>
      <c r="D89" s="345"/>
      <c r="E89" s="346"/>
      <c r="F89" s="348"/>
      <c r="G89" s="346"/>
      <c r="H89" s="346"/>
      <c r="I89" s="347">
        <f>I86+I87</f>
        <v>280651.27999999997</v>
      </c>
      <c r="K89" s="35"/>
    </row>
    <row r="90" spans="1:14" s="31" customFormat="1" ht="4.5" customHeight="1" x14ac:dyDescent="0.2">
      <c r="B90" s="32"/>
      <c r="C90" s="33"/>
      <c r="D90" s="33"/>
      <c r="E90" s="64"/>
      <c r="F90" s="66"/>
      <c r="G90" s="92"/>
      <c r="H90" s="92"/>
      <c r="I90" s="116"/>
      <c r="K90" s="35"/>
    </row>
    <row r="91" spans="1:14" s="31" customFormat="1" ht="12.75" x14ac:dyDescent="0.2">
      <c r="A91" s="67" t="s">
        <v>13</v>
      </c>
      <c r="B91" s="32"/>
      <c r="C91" s="33"/>
      <c r="D91" s="33"/>
      <c r="E91" s="75"/>
      <c r="F91" s="356">
        <v>0.04</v>
      </c>
      <c r="G91" s="309"/>
      <c r="H91" s="93"/>
      <c r="I91" s="117">
        <f>ROUND(I89*F91,2)</f>
        <v>11226.05</v>
      </c>
      <c r="K91" s="35"/>
    </row>
    <row r="92" spans="1:14" s="31" customFormat="1" ht="3" customHeight="1" x14ac:dyDescent="0.2">
      <c r="A92" s="68"/>
      <c r="B92" s="69"/>
      <c r="C92" s="70"/>
      <c r="D92" s="70"/>
      <c r="E92" s="76"/>
      <c r="F92" s="230"/>
      <c r="G92" s="237"/>
      <c r="H92" s="94"/>
      <c r="I92" s="118"/>
      <c r="K92" s="35"/>
    </row>
    <row r="93" spans="1:14" s="31" customFormat="1" ht="3" customHeight="1" x14ac:dyDescent="0.2">
      <c r="B93" s="32"/>
      <c r="C93" s="33"/>
      <c r="D93" s="33"/>
      <c r="E93" s="78"/>
      <c r="F93" s="231"/>
      <c r="G93" s="310"/>
      <c r="H93" s="95"/>
      <c r="I93" s="116"/>
      <c r="K93" s="35"/>
    </row>
    <row r="94" spans="1:14" s="31" customFormat="1" ht="12.75" x14ac:dyDescent="0.2">
      <c r="A94" s="343" t="s">
        <v>149</v>
      </c>
      <c r="B94" s="344"/>
      <c r="C94" s="345"/>
      <c r="D94" s="345"/>
      <c r="E94" s="324"/>
      <c r="F94" s="323"/>
      <c r="G94" s="323"/>
      <c r="H94" s="322"/>
      <c r="I94" s="347">
        <f>I89+I91</f>
        <v>291877.32999999996</v>
      </c>
      <c r="K94" s="35"/>
    </row>
    <row r="95" spans="1:14" s="31" customFormat="1" ht="4.5" customHeight="1" x14ac:dyDescent="0.2">
      <c r="A95" s="72"/>
      <c r="B95" s="73"/>
      <c r="C95" s="74"/>
      <c r="D95" s="74"/>
      <c r="E95" s="34"/>
      <c r="F95" s="228"/>
      <c r="G95" s="311"/>
      <c r="H95" s="93"/>
      <c r="I95" s="119"/>
      <c r="K95" s="35"/>
    </row>
    <row r="96" spans="1:14" s="31" customFormat="1" ht="12.75" x14ac:dyDescent="0.2">
      <c r="A96" s="152" t="s">
        <v>115</v>
      </c>
      <c r="B96" s="73"/>
      <c r="C96" s="74"/>
      <c r="D96" s="74"/>
      <c r="E96" s="34"/>
      <c r="F96" s="356">
        <v>0</v>
      </c>
      <c r="G96" s="93"/>
      <c r="H96" s="36"/>
      <c r="I96" s="117">
        <f>ROUND(I94*F96,2)</f>
        <v>0</v>
      </c>
      <c r="K96" s="35"/>
    </row>
    <row r="97" spans="1:11" s="31" customFormat="1" ht="3" customHeight="1" x14ac:dyDescent="0.2">
      <c r="A97" s="68"/>
      <c r="B97" s="69"/>
      <c r="C97" s="70"/>
      <c r="D97" s="70"/>
      <c r="E97" s="76"/>
      <c r="F97" s="230"/>
      <c r="G97" s="237"/>
      <c r="H97" s="94"/>
      <c r="I97" s="118"/>
      <c r="K97" s="35"/>
    </row>
    <row r="98" spans="1:11" s="31" customFormat="1" ht="3" customHeight="1" x14ac:dyDescent="0.2">
      <c r="B98" s="32"/>
      <c r="C98" s="33"/>
      <c r="D98" s="33"/>
      <c r="E98" s="78"/>
      <c r="F98" s="231"/>
      <c r="G98" s="310"/>
      <c r="H98" s="95"/>
      <c r="I98" s="116"/>
      <c r="K98" s="35"/>
    </row>
    <row r="99" spans="1:11" s="31" customFormat="1" ht="12.75" x14ac:dyDescent="0.2">
      <c r="A99" s="343" t="s">
        <v>150</v>
      </c>
      <c r="B99" s="344"/>
      <c r="C99" s="345"/>
      <c r="D99" s="345"/>
      <c r="E99" s="324"/>
      <c r="F99" s="323"/>
      <c r="G99" s="323"/>
      <c r="H99" s="322"/>
      <c r="I99" s="347">
        <f>I94+I96</f>
        <v>291877.32999999996</v>
      </c>
      <c r="K99" s="35"/>
    </row>
    <row r="100" spans="1:11" s="31" customFormat="1" ht="4.5" customHeight="1" x14ac:dyDescent="0.2">
      <c r="A100" s="72"/>
      <c r="B100" s="73"/>
      <c r="C100" s="74"/>
      <c r="D100" s="74"/>
      <c r="E100" s="34"/>
      <c r="F100" s="228"/>
      <c r="G100" s="311"/>
      <c r="H100" s="93"/>
      <c r="I100" s="119"/>
      <c r="K100" s="35"/>
    </row>
    <row r="101" spans="1:11" s="31" customFormat="1" ht="12.75" x14ac:dyDescent="0.2">
      <c r="A101" s="31" t="s">
        <v>14</v>
      </c>
      <c r="B101" s="32"/>
      <c r="D101" s="33"/>
      <c r="E101" s="71"/>
      <c r="F101" s="37">
        <v>0.2</v>
      </c>
      <c r="G101" s="37"/>
      <c r="H101" s="37"/>
      <c r="I101" s="120">
        <f>ROUND(I99*F101,2)</f>
        <v>58375.47</v>
      </c>
      <c r="K101" s="35"/>
    </row>
    <row r="102" spans="1:11" s="31" customFormat="1" ht="3" customHeight="1" x14ac:dyDescent="0.2">
      <c r="A102" s="36"/>
      <c r="B102" s="222"/>
      <c r="C102" s="77"/>
      <c r="D102" s="77"/>
      <c r="E102" s="71"/>
      <c r="F102" s="66"/>
      <c r="G102" s="92"/>
      <c r="H102" s="92"/>
      <c r="I102" s="121"/>
      <c r="K102" s="35"/>
    </row>
    <row r="103" spans="1:11" s="36" customFormat="1" ht="12.75" x14ac:dyDescent="0.2">
      <c r="A103" s="350" t="s">
        <v>151</v>
      </c>
      <c r="B103" s="355"/>
      <c r="C103" s="351"/>
      <c r="D103" s="351"/>
      <c r="E103" s="352"/>
      <c r="F103" s="353"/>
      <c r="G103" s="353"/>
      <c r="H103" s="353"/>
      <c r="I103" s="354">
        <f>SUM(I99:I101)</f>
        <v>350252.79999999993</v>
      </c>
      <c r="K103" s="35"/>
    </row>
    <row r="104" spans="1:11" ht="5.0999999999999996" customHeight="1" x14ac:dyDescent="0.2">
      <c r="F104" s="8"/>
      <c r="G104" s="41"/>
    </row>
  </sheetData>
  <mergeCells count="18">
    <mergeCell ref="A30:B30"/>
    <mergeCell ref="A32:B32"/>
    <mergeCell ref="A22:B22"/>
    <mergeCell ref="A24:B24"/>
    <mergeCell ref="A26:B26"/>
    <mergeCell ref="A28:B28"/>
    <mergeCell ref="A20:B20"/>
    <mergeCell ref="F2:I2"/>
    <mergeCell ref="A7:B7"/>
    <mergeCell ref="A9:B9"/>
    <mergeCell ref="A11:B11"/>
    <mergeCell ref="A12:B12"/>
    <mergeCell ref="A13:B13"/>
    <mergeCell ref="A14:B14"/>
    <mergeCell ref="A15:B15"/>
    <mergeCell ref="A16:B16"/>
    <mergeCell ref="A17:B17"/>
    <mergeCell ref="A18:B18"/>
  </mergeCells>
  <conditionalFormatting sqref="F63">
    <cfRule type="expression" dxfId="1" priority="2" stopIfTrue="1">
      <formula>$F$60&gt;1999999.99</formula>
    </cfRule>
  </conditionalFormatting>
  <conditionalFormatting sqref="F64">
    <cfRule type="expression" dxfId="0" priority="1" stopIfTrue="1">
      <formula>$F$60&lt;2000000</formula>
    </cfRule>
  </conditionalFormatting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&amp;L&amp;"Arial,Fett"&amp;10&amp;K969696Vergabemodelle&amp;R&amp;"Arial,Fett"&amp;10&amp;K969696Vertrag öBA - Anhang 3</oddHeader>
    <oddFooter>&amp;L&amp;"Arial,Fett"&amp;9&amp;K000000Leitfaden Vergabe technische Beratung &amp; Planung &amp;R&amp;"Arial,Standard"&amp;9 Juni &amp;K0000002018                              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6">
    <tabColor rgb="FFFF0000"/>
  </sheetPr>
  <dimension ref="A1:K12"/>
  <sheetViews>
    <sheetView showGridLines="0" view="pageLayout" zoomScale="85" zoomScaleNormal="85" zoomScaleSheetLayoutView="130" zoomScalePageLayoutView="85" workbookViewId="0">
      <selection activeCell="J21" sqref="J21"/>
    </sheetView>
  </sheetViews>
  <sheetFormatPr baseColWidth="10" defaultColWidth="11.5703125" defaultRowHeight="15" x14ac:dyDescent="0.25"/>
  <cols>
    <col min="1" max="1" width="1.5703125" style="7" customWidth="1"/>
    <col min="2" max="2" width="2.28515625" style="7" customWidth="1"/>
    <col min="3" max="3" width="3.5703125" style="8" customWidth="1"/>
    <col min="4" max="4" width="33.7109375" style="41" customWidth="1"/>
    <col min="5" max="5" width="9.85546875" style="41" customWidth="1"/>
    <col min="6" max="6" width="10.140625" style="41" customWidth="1"/>
    <col min="7" max="7" width="10.140625" style="8" customWidth="1"/>
    <col min="8" max="8" width="18" style="433" customWidth="1"/>
    <col min="9" max="9" width="2.7109375" style="41" customWidth="1"/>
    <col min="10" max="10" width="22.5703125" style="366" customWidth="1"/>
    <col min="11" max="11" width="12.140625" style="366" bestFit="1" customWidth="1"/>
    <col min="12" max="16384" width="11.5703125" style="1"/>
  </cols>
  <sheetData>
    <row r="1" spans="1:11" ht="5.0999999999999996" customHeight="1" x14ac:dyDescent="0.25">
      <c r="A1" s="1"/>
      <c r="C1" s="7"/>
      <c r="D1" s="8"/>
      <c r="H1" s="435"/>
      <c r="I1" s="58"/>
    </row>
    <row r="2" spans="1:11" s="53" customFormat="1" ht="35.1" customHeight="1" x14ac:dyDescent="0.25">
      <c r="A2" s="133"/>
      <c r="C2" s="13"/>
      <c r="D2" s="102"/>
      <c r="G2" s="54"/>
      <c r="H2" s="491"/>
      <c r="I2" s="61"/>
      <c r="J2" s="55"/>
      <c r="K2" s="55"/>
    </row>
    <row r="3" spans="1:11" s="53" customFormat="1" ht="12.95" customHeight="1" x14ac:dyDescent="0.2">
      <c r="A3" s="464"/>
      <c r="B3" s="464"/>
      <c r="C3" s="464"/>
      <c r="D3" s="464" t="s">
        <v>155</v>
      </c>
      <c r="E3" s="464"/>
      <c r="F3" s="464"/>
      <c r="G3" s="464"/>
      <c r="H3" s="436"/>
    </row>
    <row r="4" spans="1:11" s="11" customFormat="1" ht="45" customHeight="1" x14ac:dyDescent="0.2">
      <c r="A4" s="104"/>
      <c r="B4" s="257"/>
      <c r="C4" s="256"/>
      <c r="D4" s="256" t="s">
        <v>152</v>
      </c>
      <c r="E4" s="269"/>
      <c r="F4" s="463" t="s">
        <v>199</v>
      </c>
      <c r="G4" s="463" t="s">
        <v>198</v>
      </c>
      <c r="H4" s="431"/>
    </row>
    <row r="5" spans="1:11" s="11" customFormat="1" ht="6" customHeight="1" x14ac:dyDescent="0.2">
      <c r="F5" s="459"/>
      <c r="G5" s="458"/>
      <c r="H5" s="432"/>
    </row>
    <row r="6" spans="1:11" ht="4.5" customHeight="1" x14ac:dyDescent="0.2">
      <c r="A6" s="382"/>
      <c r="B6" s="6"/>
      <c r="C6" s="6"/>
      <c r="D6" s="1"/>
      <c r="E6" s="157"/>
      <c r="F6" s="494"/>
      <c r="G6" s="494"/>
      <c r="H6" s="426"/>
      <c r="I6" s="49"/>
      <c r="J6" s="1"/>
      <c r="K6" s="1"/>
    </row>
    <row r="7" spans="1:11" ht="14.25" customHeight="1" x14ac:dyDescent="0.2">
      <c r="A7" s="382"/>
      <c r="B7" s="6"/>
      <c r="C7" s="6"/>
      <c r="D7" s="428" t="s">
        <v>145</v>
      </c>
      <c r="E7" s="429"/>
      <c r="F7" s="492"/>
      <c r="G7" s="492"/>
      <c r="H7" s="430"/>
      <c r="I7" s="49"/>
      <c r="J7" s="1"/>
      <c r="K7" s="1"/>
    </row>
    <row r="8" spans="1:11" ht="14.25" customHeight="1" x14ac:dyDescent="0.25">
      <c r="D8" s="392" t="s">
        <v>153</v>
      </c>
      <c r="E8" s="465"/>
      <c r="F8" s="493">
        <f t="shared" ref="F8:F9" si="0">IF(H8="-","-",H8/_1_6)</f>
        <v>3.4802626646010845E-2</v>
      </c>
      <c r="G8" s="493">
        <f t="shared" ref="G8:G9" si="1">IF(H8="-","-",H8/_1_9)</f>
        <v>3.1368733049434244E-2</v>
      </c>
      <c r="H8" s="418">
        <f>_OA</f>
        <v>898603.82000000007</v>
      </c>
    </row>
    <row r="9" spans="1:11" ht="14.25" customHeight="1" x14ac:dyDescent="0.25">
      <c r="D9" s="392" t="s">
        <v>154</v>
      </c>
      <c r="E9" s="465"/>
      <c r="F9" s="493">
        <f t="shared" si="0"/>
        <v>1.1304311773818744E-2</v>
      </c>
      <c r="G9" s="493">
        <f t="shared" si="1"/>
        <v>1.0188941827502606E-2</v>
      </c>
      <c r="H9" s="418">
        <f>_TA_HKLS</f>
        <v>291877.32999999996</v>
      </c>
    </row>
    <row r="10" spans="1:11" ht="12.75" customHeight="1" x14ac:dyDescent="0.25">
      <c r="J10" s="183"/>
      <c r="K10" s="368"/>
    </row>
    <row r="11" spans="1:11" s="31" customFormat="1" ht="12.95" customHeight="1" x14ac:dyDescent="0.2">
      <c r="A11" s="371"/>
      <c r="B11" s="370"/>
      <c r="C11" s="371"/>
      <c r="D11" s="369" t="s">
        <v>210</v>
      </c>
      <c r="E11" s="126"/>
      <c r="F11" s="126"/>
      <c r="G11" s="126"/>
      <c r="H11" s="434">
        <f>SUM(H6:H9)</f>
        <v>1190481.1499999999</v>
      </c>
      <c r="I11" s="419"/>
      <c r="J11" s="502"/>
    </row>
    <row r="12" spans="1:11" s="31" customFormat="1" ht="12.95" customHeight="1" x14ac:dyDescent="0.2">
      <c r="A12" s="32"/>
      <c r="B12" s="33"/>
      <c r="C12" s="33"/>
      <c r="D12" s="64"/>
      <c r="E12" s="65"/>
      <c r="F12" s="65"/>
      <c r="G12" s="65"/>
      <c r="H12" s="437"/>
      <c r="I12" s="66"/>
      <c r="J12" s="502"/>
      <c r="K12" s="84"/>
    </row>
  </sheetData>
  <pageMargins left="0.59055118110236227" right="0.39370078740157483" top="0.51181102362204722" bottom="0.70866141732283472" header="0.31496062992125984" footer="0.31496062992125984"/>
  <pageSetup paperSize="9" scale="71" pageOrder="overThenDown" orientation="portrait" r:id="rId1"/>
  <headerFooter>
    <oddHeader>&amp;L&amp;"Arial,Fett"&amp;10&amp;K969696Vergabemodelle&amp;R&amp;"Arial,Fett"&amp;10&amp;K969696Vertrag öBA - Anhang 3</oddHeader>
    <oddFooter>&amp;L&amp;"Arial,Standard"&amp;9&amp;K000000Seite &amp;P von &amp;N                              Juni 2018&amp;R&amp;"Arial,Fett"&amp;9&amp;K000000Leitfaden Vergabe technische Beratung &amp; Planung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37</vt:i4>
      </vt:variant>
    </vt:vector>
  </HeadingPairs>
  <TitlesOfParts>
    <vt:vector size="43" baseType="lpstr">
      <vt:lpstr>Projektkennwerte</vt:lpstr>
      <vt:lpstr>GP2a</vt:lpstr>
      <vt:lpstr>GP2b Mgt.</vt:lpstr>
      <vt:lpstr>OA</vt:lpstr>
      <vt:lpstr>TA_HKLS</vt:lpstr>
      <vt:lpstr>Summenblatt</vt:lpstr>
      <vt:lpstr>_0</vt:lpstr>
      <vt:lpstr>_1</vt:lpstr>
      <vt:lpstr>_1_6</vt:lpstr>
      <vt:lpstr>_1_9</vt:lpstr>
      <vt:lpstr>_2</vt:lpstr>
      <vt:lpstr>_2_4</vt:lpstr>
      <vt:lpstr>_3</vt:lpstr>
      <vt:lpstr>_3Elektro</vt:lpstr>
      <vt:lpstr>_3Föte</vt:lpstr>
      <vt:lpstr>_3GA</vt:lpstr>
      <vt:lpstr>_3Heizung</vt:lpstr>
      <vt:lpstr>_3IT</vt:lpstr>
      <vt:lpstr>_3Lüftung</vt:lpstr>
      <vt:lpstr>_3Nutzer</vt:lpstr>
      <vt:lpstr>_3Sanitär</vt:lpstr>
      <vt:lpstr>_4</vt:lpstr>
      <vt:lpstr>_5</vt:lpstr>
      <vt:lpstr>_5EinbauM</vt:lpstr>
      <vt:lpstr>_5Nutzer</vt:lpstr>
      <vt:lpstr>_5SerienM</vt:lpstr>
      <vt:lpstr>_5Übers</vt:lpstr>
      <vt:lpstr>_6</vt:lpstr>
      <vt:lpstr>_7</vt:lpstr>
      <vt:lpstr>_8</vt:lpstr>
      <vt:lpstr>_9</vt:lpstr>
      <vt:lpstr>_mvB</vt:lpstr>
      <vt:lpstr>_OA</vt:lpstr>
      <vt:lpstr>_TA_HKLS</vt:lpstr>
      <vt:lpstr>GP2a!Druckbereich</vt:lpstr>
      <vt:lpstr>'GP2b Mgt.'!Druckbereich</vt:lpstr>
      <vt:lpstr>OA!Druckbereich</vt:lpstr>
      <vt:lpstr>Projektkennwerte!Druckbereich</vt:lpstr>
      <vt:lpstr>Summenblatt!Druckbereich</vt:lpstr>
      <vt:lpstr>TA_HKLS!Druckbereich</vt:lpstr>
      <vt:lpstr>GP2a!Drucktitel</vt:lpstr>
      <vt:lpstr>'GP2b Mgt.'!Drucktitel</vt:lpstr>
      <vt:lpstr>TA_HKLS!Drucktitel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hc</cp:lastModifiedBy>
  <cp:lastPrinted>2018-05-15T10:30:33Z</cp:lastPrinted>
  <dcterms:created xsi:type="dcterms:W3CDTF">2009-05-04T08:45:42Z</dcterms:created>
  <dcterms:modified xsi:type="dcterms:W3CDTF">2018-08-20T13:22:03Z</dcterms:modified>
</cp:coreProperties>
</file>