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c\Desktop\"/>
    </mc:Choice>
  </mc:AlternateContent>
  <xr:revisionPtr revIDLastSave="0" documentId="8_{4124BAED-86A5-44D0-884D-7EAA12BBF5C3}" xr6:coauthVersionLast="31" xr6:coauthVersionMax="31" xr10:uidLastSave="{00000000-0000-0000-0000-000000000000}"/>
  <bookViews>
    <workbookView xWindow="14475" yWindow="-120" windowWidth="13725" windowHeight="11505" tabRatio="908" xr2:uid="{00000000-000D-0000-FFFF-FFFF00000000}"/>
  </bookViews>
  <sheets>
    <sheet name="Projektkennwerte" sheetId="68" r:id="rId1"/>
    <sheet name="GP2aNEU" sheetId="116" r:id="rId2"/>
    <sheet name="GP2a" sheetId="99" state="hidden" r:id="rId3"/>
    <sheet name="GP2b Mgt." sheetId="56" state="hidden" r:id="rId4"/>
    <sheet name="GP2b Mgt.NEU" sheetId="115" r:id="rId5"/>
    <sheet name="OA" sheetId="55" r:id="rId6"/>
    <sheet name="ED" sheetId="57" r:id="rId7"/>
    <sheet name="FA" sheetId="59" r:id="rId8"/>
    <sheet name="TW" sheetId="61" r:id="rId9"/>
    <sheet name="BPH-Th" sheetId="62" r:id="rId10"/>
    <sheet name="BPH-Schall" sheetId="63" r:id="rId11"/>
    <sheet name="BPH-akustik" sheetId="64" r:id="rId12"/>
    <sheet name="Brand" sheetId="105" r:id="rId13"/>
    <sheet name="Brand AHO" sheetId="118" r:id="rId14"/>
    <sheet name="TA_HKLS" sheetId="70" r:id="rId15"/>
    <sheet name="TA_ELT" sheetId="71" r:id="rId16"/>
    <sheet name="TA_FÖTE" sheetId="72" r:id="rId17"/>
    <sheet name="TA_nutzung" sheetId="75" r:id="rId18"/>
    <sheet name="TA_MT" sheetId="114" r:id="rId19"/>
    <sheet name="TA_MSR" sheetId="73" r:id="rId20"/>
    <sheet name="Summenblatt" sheetId="163" r:id="rId21"/>
  </sheets>
  <definedNames>
    <definedName name="_0" comment="KB 0 - Grund">Projektkennwerte!$M$6</definedName>
    <definedName name="_1" comment="KB 1 - Aufschließung">Projektkennwerte!$M$8</definedName>
    <definedName name="_1_6" comment="KB 1-6 = Baukosten">Projektkennwerte!$M$28</definedName>
    <definedName name="_1_9" comment="KB 1-9 = Errichtungskosten">Projektkennwerte!$M$30</definedName>
    <definedName name="_2" comment="KB 2 - Robau">Projektkennwerte!$M$10</definedName>
    <definedName name="_2_4" comment="KB 2-4 = Bauwerkskosten">Projektkennwerte!$M$26</definedName>
    <definedName name="_3" comment="KB 3 - Technik">Projektkennwerte!$M$12</definedName>
    <definedName name="_3Elektro" comment="KB 3 - Anteil Elektro">Projektkennwerte!$M$45</definedName>
    <definedName name="_3Föte" comment="KB 3 - Anteil Fördertechnik">Projektkennwerte!$M$47</definedName>
    <definedName name="_3GA" comment="KB 3 - Anteil Gebäudeautomation">Projektkennwerte!$M$50</definedName>
    <definedName name="_3Heizung" comment="KB 3 - Anteil Heizung">Projektkennwerte!$M$43</definedName>
    <definedName name="_3IT" comment="KB 3 - Anteil Informationstechnologie">Projektkennwerte!$M$46</definedName>
    <definedName name="_3Lüftung" comment="KB 3 - Anteil Lüftung">Projektkennwerte!$M$44</definedName>
    <definedName name="_3Nutzer" comment="KB 3 - Anteil Nutzerspezifische Anlagen">Projektkennwerte!$M$48</definedName>
    <definedName name="_3Sanitär" comment="KB 3 - Anteil Sanitär">Projektkennwerte!$M$42</definedName>
    <definedName name="_4" comment="KB 4 - Ausbau">Projektkennwerte!$M$14</definedName>
    <definedName name="_5" comment="KB 5 - Einrichtung">Projektkennwerte!$M$16</definedName>
    <definedName name="_5EinbauM" comment="KB 5 - Anteil Einbaumöbel">Projektkennwerte!$M$53</definedName>
    <definedName name="_5Nutzer" comment="KB 5 - Anteil Nutzerspezifische Ausstattung">Projektkennwerte!$M$55</definedName>
    <definedName name="_5SerienM" comment="KB 5 - Anteil Serienmöbel">Projektkennwerte!$M$54</definedName>
    <definedName name="_5Übers" comment="KB 5 - Anteil Übersiedelungsgut">Projektkennwerte!$M$56</definedName>
    <definedName name="_6" comment="KB 6 - Außenanlagen">Projektkennwerte!$M$18</definedName>
    <definedName name="_7" comment="KB 7 - Planungsleistungen">Projektkennwerte!$M$20</definedName>
    <definedName name="_7BK" comment="KB 7 - Anteil Begleitende Kontrolle">Projektkennwerte!#REF!</definedName>
    <definedName name="_7PL" comment="KB 7 - Anteil Projektleitung">Projektkennwerte!#REF!</definedName>
    <definedName name="_7PLA" comment="KB 7 - Anteil Planer ohne PL, BK und PS">Projektkennwerte!#REF!</definedName>
    <definedName name="_7PS" comment="KB 7 - Anteil Projektsteuerung">Projektkennwerte!#REF!</definedName>
    <definedName name="_8" comment="KB 8 - Nebenkosten">Projektkennwerte!$M$22</definedName>
    <definedName name="_9" comment="KB 9 - Reserven">Projektkennwerte!$M$24</definedName>
    <definedName name="_Anrainer" comment="Anrainer, Ombudsmann">#REF!</definedName>
    <definedName name="_BauKG" comment="BauKG Planungs- und Baukoordination">#REF!</definedName>
    <definedName name="_BK" comment="Begleitende Kontrolle">#REF!</definedName>
    <definedName name="_BPH_akustik" comment="Bauphysik Raumakustik">'BPH-akustik'!$I$84</definedName>
    <definedName name="_BPH_Schall" comment="Bauphysik Schallschutz">'BPH-Schall'!$I$83</definedName>
    <definedName name="_BPH_Th" comment="Thermische Bauphysik">'BPH-Th'!$I$83</definedName>
    <definedName name="_Brand" comment="Brandschutz">Brand!$I$29</definedName>
    <definedName name="_Brand_AHO" comment="Brandschutz nach AHO">'Brand AHO'!$L$92</definedName>
    <definedName name="_ED" comment="Einrichtungsplanung">ED!$I$82</definedName>
    <definedName name="_FA" comment="Freianlagen + Verkehr (ohne technische Bauwerke)">FA!$I$81</definedName>
    <definedName name="_FM" comment="Facility Management Consulting">#REF!</definedName>
    <definedName name="_Genehm" comment="Genehmigungen">#REF!</definedName>
    <definedName name="_Geo" comment="Geotechnik">#REF!</definedName>
    <definedName name="_GP2aNeu" comment="Generalplaner Leitung 2.a">GP2aNEU!$I$85</definedName>
    <definedName name="_GP2b_Mgt.NEU" comment="Generalplaner Management 2.b">'GP2b Mgt.NEU'!$I$85</definedName>
    <definedName name="_mvB" comment="mitzuverarbeitende Bausubstanz">Projektkennwerte!$K$37</definedName>
    <definedName name="_OA" comment="Objektplanung Architektur">OA!$I$91</definedName>
    <definedName name="_Öff.arbeit" comment="Öffentlichkeitsarbeit in der Projektentwicklung">#REF!</definedName>
    <definedName name="_PI" comment="Prüfingenieur DSL 3">#REF!</definedName>
    <definedName name="_PL2.a" comment="Projektleitung">#REF!</definedName>
    <definedName name="_PL2.b" comment="Projektleitung komplexe Projekte">#REF!</definedName>
    <definedName name="_PS" comment=" Projektsteuerung">#REF!</definedName>
    <definedName name="_TA_ELT" comment="Technische Ausrüstung Elektrotechnik">TA_ELT!$I$94</definedName>
    <definedName name="_TA_FÖTE" comment="Technische Ausrüstung Fördertechnik">TA_FÖTE!$I$94</definedName>
    <definedName name="_TA_HKLS" comment="Technische Ausrüstung - HKLS">TA_HKLS!$I$94</definedName>
    <definedName name="_TA_MSR" comment="Technische Ausrüstung MSR">TA_MSR!$I$94</definedName>
    <definedName name="_TA_MT" comment="Technische Ausrüstung Medizintechnik">TA_MT!$I$94</definedName>
    <definedName name="_TA_Nutzer" comment="Technische Ausrüstung Nutzungsspezifische Anlagen">TA_nutzung!$I$94</definedName>
    <definedName name="_TW" comment="Tragwersplanung">TW!$I$93</definedName>
    <definedName name="_VB_BK" comment="Verfahrensbetreuung Begleitende Kontrolle">#REF!</definedName>
    <definedName name="_VB_FPL" comment="Verfahrensbetreuung Fachplanung">#REF!</definedName>
    <definedName name="_VB_GP" comment="Verfahrensbetreuung Generalplaner">#REF!</definedName>
    <definedName name="_VB_jur" comment="Verfahrensbetreuung (juristisch)">#REF!</definedName>
    <definedName name="_VB_kaufm" comment="Verfahrensbetreuung (kaufmännisch)">#REF!</definedName>
    <definedName name="_VB_ÖBA" comment="Verfahrensbetreuung Örtliche Bauaufsicht">#REF!</definedName>
    <definedName name="_VB_PS" comment="Verfahrensbetreuung Projektsteuerung">#REF!</definedName>
    <definedName name="_Verm" comment="Vermessung">#REF!</definedName>
    <definedName name="_Versich" comment="Versicherung">#REF!</definedName>
    <definedName name="_xlnm.Print_Area" localSheetId="11">'BPH-akustik'!$A$1:$K$93</definedName>
    <definedName name="_xlnm.Print_Area" localSheetId="10">'BPH-Schall'!$A$1:$K$92</definedName>
    <definedName name="_xlnm.Print_Area" localSheetId="9">'BPH-Th'!$A$1:$L$92</definedName>
    <definedName name="_xlnm.Print_Area" localSheetId="12">Brand!$A$1:$J$33</definedName>
    <definedName name="_xlnm.Print_Area" localSheetId="13">'Brand AHO'!$A$1:$N$102</definedName>
    <definedName name="_xlnm.Print_Area" localSheetId="6">ED!$A$1:$L$92</definedName>
    <definedName name="_xlnm.Print_Area" localSheetId="7">FA!$A$1:$J$90</definedName>
    <definedName name="_xlnm.Print_Area" localSheetId="2">GP2a!$A$1:$J$91</definedName>
    <definedName name="_xlnm.Print_Area" localSheetId="3">'GP2b Mgt.'!$A$1:$J$91</definedName>
    <definedName name="_xlnm.Print_Area" localSheetId="4">'GP2b Mgt.NEU'!$A$1:$J$94</definedName>
    <definedName name="_xlnm.Print_Area" localSheetId="5">OA!$A$1:$L$100</definedName>
    <definedName name="_xlnm.Print_Area" localSheetId="0">Projektkennwerte!$A$1:$N$57</definedName>
    <definedName name="_xlnm.Print_Area" localSheetId="20">Summenblatt!$A$1:$I$25</definedName>
    <definedName name="_xlnm.Print_Area" localSheetId="15">TA_ELT!$A$1:$L$103</definedName>
    <definedName name="_xlnm.Print_Area" localSheetId="16">TA_FÖTE!$A$1:$L$103</definedName>
    <definedName name="_xlnm.Print_Area" localSheetId="14">TA_HKLS!$A$1:$L$103</definedName>
    <definedName name="_xlnm.Print_Area" localSheetId="19">TA_MSR!$A$1:$J$103</definedName>
    <definedName name="_xlnm.Print_Area" localSheetId="18">TA_MT!$A$1:$J$103</definedName>
    <definedName name="_xlnm.Print_Area" localSheetId="17">TA_nutzung!$A$1:$J$103</definedName>
    <definedName name="_xlnm.Print_Area" localSheetId="8">TW!$A$1:$L$102</definedName>
    <definedName name="_xlnm.Print_Titles" localSheetId="11">'BPH-akustik'!$A:$D,'BPH-akustik'!$3:$3</definedName>
    <definedName name="_xlnm.Print_Titles" localSheetId="10">'BPH-Schall'!$A:$D,'BPH-Schall'!$3:$3</definedName>
    <definedName name="_xlnm.Print_Titles" localSheetId="9">'BPH-Th'!$A:$D,'BPH-Th'!$3:$3</definedName>
    <definedName name="_xlnm.Print_Titles" localSheetId="12">Brand!$A:$D,Brand!#REF!</definedName>
    <definedName name="_xlnm.Print_Titles" localSheetId="13">'Brand AHO'!$A:$D,'Brand AHO'!$8:$8</definedName>
    <definedName name="_xlnm.Print_Titles" localSheetId="6">ED!$A:$D,ED!$3:$3</definedName>
    <definedName name="_xlnm.Print_Titles" localSheetId="7">FA!$A:$D,FA!#REF!</definedName>
    <definedName name="_xlnm.Print_Titles" localSheetId="2">GP2a!$A:$D,GP2a!$3:$3</definedName>
    <definedName name="_xlnm.Print_Titles" localSheetId="1">GP2aNEU!$A:$D,GP2aNEU!$4:$4</definedName>
    <definedName name="_xlnm.Print_Titles" localSheetId="3">'GP2b Mgt.'!$A:$D,'GP2b Mgt.'!$3:$3</definedName>
    <definedName name="_xlnm.Print_Titles" localSheetId="4">'GP2b Mgt.NEU'!$A:$D,'GP2b Mgt.NEU'!$4:$4</definedName>
    <definedName name="_xlnm.Print_Titles" localSheetId="20">Summenblatt!$A:$C,Summenblatt!#REF!</definedName>
    <definedName name="_xlnm.Print_Titles" localSheetId="15">TA_ELT!$A:$D,TA_ELT!$3:$3</definedName>
    <definedName name="_xlnm.Print_Titles" localSheetId="16">TA_FÖTE!$A:$D,TA_FÖTE!$3:$3</definedName>
    <definedName name="_xlnm.Print_Titles" localSheetId="14">TA_HKLS!$A:$D,TA_HKLS!$3:$3</definedName>
    <definedName name="_xlnm.Print_Titles" localSheetId="19">TA_MSR!$A:$D,TA_MSR!$3:$3</definedName>
    <definedName name="_xlnm.Print_Titles" localSheetId="18">TA_MT!$A:$D,TA_MT!$3:$3</definedName>
    <definedName name="_xlnm.Print_Titles" localSheetId="17">TA_nutzung!$A:$D,TA_nutzung!$3:$3</definedName>
    <definedName name="_xlnm.Print_Titles" localSheetId="8">TW!$A:$D,TW!$3:$3</definedName>
  </definedNames>
  <calcPr calcId="179017"/>
</workbook>
</file>

<file path=xl/calcChain.xml><?xml version="1.0" encoding="utf-8"?>
<calcChain xmlns="http://schemas.openxmlformats.org/spreadsheetml/2006/main">
  <c r="M56" i="68" l="1"/>
  <c r="F19" i="57" s="1"/>
  <c r="I19" i="57" s="1"/>
  <c r="K52" i="68"/>
  <c r="K16" i="68" s="1"/>
  <c r="I52" i="68"/>
  <c r="I16" i="68" s="1"/>
  <c r="M16" i="68" s="1"/>
  <c r="K41" i="68"/>
  <c r="K12" i="68" s="1"/>
  <c r="K26" i="68" s="1"/>
  <c r="I41" i="68"/>
  <c r="I12" i="68" s="1"/>
  <c r="M53" i="68"/>
  <c r="M55" i="68"/>
  <c r="F18" i="57" s="1"/>
  <c r="M54" i="68"/>
  <c r="F17" i="57" s="1"/>
  <c r="I17" i="57" s="1"/>
  <c r="M50" i="68"/>
  <c r="M49" i="68"/>
  <c r="F19" i="75" s="1"/>
  <c r="I19" i="75" s="1"/>
  <c r="M48" i="68"/>
  <c r="M47" i="68"/>
  <c r="F17" i="73" s="1"/>
  <c r="I17" i="73" s="1"/>
  <c r="M46" i="68"/>
  <c r="F16" i="114" s="1"/>
  <c r="I16" i="114" s="1"/>
  <c r="M45" i="68"/>
  <c r="F15" i="72" s="1"/>
  <c r="I15" i="72" s="1"/>
  <c r="M44" i="68"/>
  <c r="M43" i="68"/>
  <c r="F13" i="61" s="1"/>
  <c r="I13" i="61" s="1"/>
  <c r="M42" i="68"/>
  <c r="M24" i="68"/>
  <c r="F32" i="114" s="1"/>
  <c r="I32" i="114" s="1"/>
  <c r="M22" i="68"/>
  <c r="M18" i="68"/>
  <c r="F26" i="72" s="1"/>
  <c r="I26" i="72" s="1"/>
  <c r="M14" i="68"/>
  <c r="F14" i="116" s="1"/>
  <c r="M10" i="68"/>
  <c r="F10" i="116" s="1"/>
  <c r="I10" i="116" s="1"/>
  <c r="M8" i="68"/>
  <c r="M6" i="68"/>
  <c r="K37" i="68"/>
  <c r="F27" i="64"/>
  <c r="I27" i="64" s="1"/>
  <c r="I11" i="118"/>
  <c r="I12" i="118"/>
  <c r="I13" i="118"/>
  <c r="I14" i="118"/>
  <c r="I15" i="118"/>
  <c r="I16" i="118"/>
  <c r="I10" i="118"/>
  <c r="L42" i="118"/>
  <c r="J42" i="118"/>
  <c r="I42" i="118"/>
  <c r="H42" i="118"/>
  <c r="F42" i="118"/>
  <c r="L22" i="118"/>
  <c r="J22" i="118"/>
  <c r="H22" i="118"/>
  <c r="F22" i="118"/>
  <c r="J6" i="118"/>
  <c r="M6" i="118"/>
  <c r="L85" i="118"/>
  <c r="H80" i="118"/>
  <c r="F80" i="118"/>
  <c r="M51" i="118"/>
  <c r="K51" i="118"/>
  <c r="I51" i="118"/>
  <c r="G51" i="118"/>
  <c r="M50" i="118"/>
  <c r="K50" i="118"/>
  <c r="I50" i="118"/>
  <c r="G50" i="118"/>
  <c r="M49" i="118"/>
  <c r="K49" i="118"/>
  <c r="I49" i="118"/>
  <c r="G49" i="118"/>
  <c r="M48" i="118"/>
  <c r="K48" i="118"/>
  <c r="I48" i="118"/>
  <c r="G48" i="118"/>
  <c r="M47" i="118"/>
  <c r="K47" i="118"/>
  <c r="I47" i="118"/>
  <c r="G47" i="118"/>
  <c r="M46" i="118"/>
  <c r="K46" i="118"/>
  <c r="I46" i="118"/>
  <c r="G46" i="118"/>
  <c r="M45" i="118"/>
  <c r="K45" i="118"/>
  <c r="I45" i="118"/>
  <c r="G45" i="118"/>
  <c r="M44" i="118"/>
  <c r="M53" i="118" s="1"/>
  <c r="K44" i="118"/>
  <c r="K53" i="118" s="1"/>
  <c r="I44" i="118"/>
  <c r="G44" i="118"/>
  <c r="G53" i="118" s="1"/>
  <c r="M36" i="118"/>
  <c r="K36" i="118"/>
  <c r="I36" i="118"/>
  <c r="G36" i="118"/>
  <c r="M35" i="118"/>
  <c r="K35" i="118"/>
  <c r="I35" i="118"/>
  <c r="G35" i="118"/>
  <c r="M34" i="118"/>
  <c r="K34" i="118"/>
  <c r="I34" i="118"/>
  <c r="G34" i="118"/>
  <c r="M33" i="118"/>
  <c r="K33" i="118"/>
  <c r="I33" i="118"/>
  <c r="G33" i="118"/>
  <c r="M32" i="118"/>
  <c r="K32" i="118"/>
  <c r="I32" i="118"/>
  <c r="G32" i="118"/>
  <c r="K31" i="118"/>
  <c r="I31" i="118"/>
  <c r="G31" i="118"/>
  <c r="M30" i="118"/>
  <c r="K30" i="118"/>
  <c r="I30" i="118"/>
  <c r="G30" i="118"/>
  <c r="M29" i="118"/>
  <c r="K29" i="118"/>
  <c r="G29" i="118"/>
  <c r="M28" i="118"/>
  <c r="K28" i="118"/>
  <c r="I28" i="118"/>
  <c r="G28" i="118"/>
  <c r="M27" i="118"/>
  <c r="K27" i="118"/>
  <c r="I27" i="118"/>
  <c r="G27" i="118"/>
  <c r="M26" i="118"/>
  <c r="K26" i="118"/>
  <c r="I26" i="118"/>
  <c r="G26" i="118"/>
  <c r="M25" i="118"/>
  <c r="K25" i="118"/>
  <c r="I25" i="118"/>
  <c r="I38" i="118" s="1"/>
  <c r="G25" i="118"/>
  <c r="M24" i="118"/>
  <c r="K24" i="118"/>
  <c r="K38" i="118"/>
  <c r="I24" i="118"/>
  <c r="G24" i="118"/>
  <c r="I22" i="118"/>
  <c r="K6" i="118"/>
  <c r="I12" i="105"/>
  <c r="I77" i="116"/>
  <c r="F72" i="116"/>
  <c r="E72" i="116"/>
  <c r="I77" i="115"/>
  <c r="F72" i="115"/>
  <c r="E72" i="115"/>
  <c r="F48" i="115"/>
  <c r="F53" i="115" s="1"/>
  <c r="I87" i="114"/>
  <c r="F82" i="114"/>
  <c r="E82" i="114"/>
  <c r="F56" i="114"/>
  <c r="F61" i="114" s="1"/>
  <c r="I21" i="105"/>
  <c r="I19" i="105"/>
  <c r="I18" i="105"/>
  <c r="I17" i="105"/>
  <c r="I16" i="105"/>
  <c r="I8" i="105"/>
  <c r="I7" i="105"/>
  <c r="I74" i="99"/>
  <c r="F69" i="99"/>
  <c r="E69" i="99"/>
  <c r="F21" i="99"/>
  <c r="I21" i="99" s="1"/>
  <c r="F13" i="99"/>
  <c r="I13" i="99" s="1"/>
  <c r="F22" i="71"/>
  <c r="I22" i="71"/>
  <c r="F22" i="70"/>
  <c r="I22" i="70"/>
  <c r="F13" i="64"/>
  <c r="I13" i="64"/>
  <c r="F13" i="63"/>
  <c r="I13" i="63" s="1"/>
  <c r="F13" i="62"/>
  <c r="I13" i="62" s="1"/>
  <c r="F16" i="61"/>
  <c r="I16" i="61" s="1"/>
  <c r="F12" i="61"/>
  <c r="I12" i="61" s="1"/>
  <c r="F45" i="57"/>
  <c r="F51" i="57"/>
  <c r="F53" i="55"/>
  <c r="F58" i="55" s="1"/>
  <c r="F16" i="73"/>
  <c r="I16" i="73" s="1"/>
  <c r="F16" i="75"/>
  <c r="I16" i="75" s="1"/>
  <c r="F12" i="75"/>
  <c r="I12" i="75" s="1"/>
  <c r="F16" i="72"/>
  <c r="I16" i="72" s="1"/>
  <c r="F12" i="72"/>
  <c r="I12" i="72" s="1"/>
  <c r="F16" i="71"/>
  <c r="I16" i="71" s="1"/>
  <c r="F12" i="71"/>
  <c r="I12" i="71" s="1"/>
  <c r="F16" i="70"/>
  <c r="I16" i="70"/>
  <c r="I18" i="57"/>
  <c r="E82" i="73"/>
  <c r="F82" i="73"/>
  <c r="F56" i="73"/>
  <c r="F61" i="73" s="1"/>
  <c r="I87" i="75"/>
  <c r="F82" i="75"/>
  <c r="E82" i="75"/>
  <c r="I87" i="72"/>
  <c r="E82" i="72"/>
  <c r="F82" i="72"/>
  <c r="I87" i="71"/>
  <c r="F82" i="71"/>
  <c r="E82" i="71"/>
  <c r="F56" i="71"/>
  <c r="F61" i="71" s="1"/>
  <c r="I87" i="70"/>
  <c r="F82" i="70"/>
  <c r="E82" i="70"/>
  <c r="F56" i="70"/>
  <c r="F61" i="70" s="1"/>
  <c r="I77" i="64"/>
  <c r="F72" i="64"/>
  <c r="E72" i="64"/>
  <c r="F46" i="64"/>
  <c r="F53" i="64" s="1"/>
  <c r="F71" i="63"/>
  <c r="E71" i="63"/>
  <c r="I76" i="63"/>
  <c r="I76" i="62"/>
  <c r="F71" i="62"/>
  <c r="E71" i="62"/>
  <c r="I86" i="61"/>
  <c r="F81" i="61"/>
  <c r="E81" i="61"/>
  <c r="F57" i="61"/>
  <c r="F62" i="61" s="1"/>
  <c r="I74" i="59"/>
  <c r="F69" i="59"/>
  <c r="F70" i="57"/>
  <c r="E69" i="59"/>
  <c r="E70" i="57"/>
  <c r="F44" i="59"/>
  <c r="F50" i="59"/>
  <c r="F13" i="59"/>
  <c r="I13" i="59"/>
  <c r="I75" i="57"/>
  <c r="F79" i="55"/>
  <c r="F14" i="55"/>
  <c r="I14" i="55" s="1"/>
  <c r="F69" i="56"/>
  <c r="I87" i="73"/>
  <c r="I74" i="56"/>
  <c r="F16" i="57"/>
  <c r="I16" i="57" s="1"/>
  <c r="F13" i="57"/>
  <c r="E79" i="55"/>
  <c r="E69" i="56"/>
  <c r="F45" i="56"/>
  <c r="F50" i="56" s="1"/>
  <c r="F23" i="56"/>
  <c r="I23" i="56" s="1"/>
  <c r="F13" i="56"/>
  <c r="I13" i="56" s="1"/>
  <c r="F32" i="73"/>
  <c r="I32" i="73" s="1"/>
  <c r="F22" i="73"/>
  <c r="I22" i="73" s="1"/>
  <c r="F32" i="75"/>
  <c r="I32" i="75" s="1"/>
  <c r="F22" i="75"/>
  <c r="I22" i="75" s="1"/>
  <c r="F7" i="75"/>
  <c r="I7" i="75" s="1"/>
  <c r="F30" i="72"/>
  <c r="I30" i="72" s="1"/>
  <c r="F22" i="72"/>
  <c r="I22" i="72" s="1"/>
  <c r="F7" i="72"/>
  <c r="I7" i="72" s="1"/>
  <c r="F56" i="75"/>
  <c r="F61" i="75"/>
  <c r="F56" i="72"/>
  <c r="F61" i="72" s="1"/>
  <c r="I84" i="55"/>
  <c r="F31" i="61"/>
  <c r="I31" i="61" s="1"/>
  <c r="F21" i="61"/>
  <c r="I21" i="61"/>
  <c r="A51" i="57"/>
  <c r="F47" i="63"/>
  <c r="F52" i="63" s="1"/>
  <c r="F47" i="62"/>
  <c r="F52" i="62"/>
  <c r="M38" i="118"/>
  <c r="I53" i="118"/>
  <c r="G38" i="118"/>
  <c r="F20" i="70"/>
  <c r="I20" i="70" s="1"/>
  <c r="F20" i="71"/>
  <c r="I20" i="71" s="1"/>
  <c r="F20" i="72"/>
  <c r="I20" i="72" s="1"/>
  <c r="F20" i="75"/>
  <c r="I20" i="75" s="1"/>
  <c r="F20" i="73"/>
  <c r="I20" i="73" s="1"/>
  <c r="F19" i="61"/>
  <c r="I19" i="61" s="1"/>
  <c r="F20" i="114"/>
  <c r="I20" i="114" s="1"/>
  <c r="F9" i="61"/>
  <c r="I9" i="61" s="1"/>
  <c r="F9" i="63"/>
  <c r="I9" i="63" s="1"/>
  <c r="F21" i="57"/>
  <c r="I21" i="57" s="1"/>
  <c r="F18" i="55"/>
  <c r="I18" i="55" s="1"/>
  <c r="F25" i="61"/>
  <c r="I25" i="61" s="1"/>
  <c r="F17" i="99"/>
  <c r="I17" i="99" s="1"/>
  <c r="F26" i="114"/>
  <c r="I26" i="114" s="1"/>
  <c r="F20" i="55"/>
  <c r="I20" i="55" s="1"/>
  <c r="F27" i="61"/>
  <c r="I27" i="61" s="1"/>
  <c r="F23" i="57"/>
  <c r="I23" i="57" s="1"/>
  <c r="F19" i="62"/>
  <c r="I19" i="62" s="1"/>
  <c r="F28" i="114"/>
  <c r="I28" i="114" s="1"/>
  <c r="F20" i="116"/>
  <c r="I20" i="116" s="1"/>
  <c r="F28" i="73"/>
  <c r="I28" i="73" s="1"/>
  <c r="F19" i="99"/>
  <c r="I19" i="99" s="1"/>
  <c r="F20" i="115"/>
  <c r="I20" i="115" s="1"/>
  <c r="F28" i="75"/>
  <c r="I28" i="75" s="1"/>
  <c r="F27" i="62"/>
  <c r="I27" i="62" s="1"/>
  <c r="F35" i="61"/>
  <c r="I35" i="61" s="1"/>
  <c r="F31" i="57"/>
  <c r="I31" i="57" s="1"/>
  <c r="F28" i="116"/>
  <c r="I28" i="116" s="1"/>
  <c r="F28" i="115"/>
  <c r="I28" i="115" s="1"/>
  <c r="F28" i="55"/>
  <c r="I28" i="55" s="1"/>
  <c r="F18" i="73"/>
  <c r="I18" i="73" s="1"/>
  <c r="F18" i="61"/>
  <c r="I18" i="61" s="1"/>
  <c r="F18" i="71"/>
  <c r="I18" i="71" s="1"/>
  <c r="I13" i="57"/>
  <c r="F27" i="63"/>
  <c r="I27" i="63" s="1"/>
  <c r="F15" i="75"/>
  <c r="I15" i="75" s="1"/>
  <c r="F17" i="59"/>
  <c r="I17" i="59" s="1"/>
  <c r="F18" i="115"/>
  <c r="I18" i="115" s="1"/>
  <c r="F26" i="75"/>
  <c r="F17" i="64"/>
  <c r="I17" i="64" s="1"/>
  <c r="F13" i="71"/>
  <c r="I13" i="71" s="1"/>
  <c r="F7" i="71"/>
  <c r="I7" i="71" s="1"/>
  <c r="F19" i="72"/>
  <c r="I19" i="72" s="1"/>
  <c r="F21" i="63"/>
  <c r="F21" i="64"/>
  <c r="I21" i="64" s="1"/>
  <c r="F22" i="115"/>
  <c r="I22" i="115" s="1"/>
  <c r="F17" i="61"/>
  <c r="I17" i="61" s="1"/>
  <c r="F17" i="71"/>
  <c r="I17" i="71" s="1"/>
  <c r="F7" i="55"/>
  <c r="I7" i="55" s="1"/>
  <c r="F22" i="55"/>
  <c r="I22" i="55" s="1"/>
  <c r="F30" i="71"/>
  <c r="F22" i="116"/>
  <c r="I22" i="116" s="1"/>
  <c r="F14" i="115"/>
  <c r="F12" i="73"/>
  <c r="I12" i="73" s="1"/>
  <c r="F12" i="70"/>
  <c r="I12" i="70" s="1"/>
  <c r="I21" i="63"/>
  <c r="I14" i="115"/>
  <c r="I30" i="71"/>
  <c r="I26" i="75"/>
  <c r="F15" i="59" l="1"/>
  <c r="I15" i="59" s="1"/>
  <c r="F24" i="71"/>
  <c r="I24" i="71" s="1"/>
  <c r="F24" i="114"/>
  <c r="F15" i="64"/>
  <c r="I15" i="64" s="1"/>
  <c r="F17" i="72"/>
  <c r="I17" i="72" s="1"/>
  <c r="F19" i="73"/>
  <c r="I19" i="73" s="1"/>
  <c r="F13" i="70"/>
  <c r="I13" i="70" s="1"/>
  <c r="F13" i="75"/>
  <c r="I13" i="75" s="1"/>
  <c r="F17" i="56"/>
  <c r="I17" i="56" s="1"/>
  <c r="F18" i="116"/>
  <c r="I18" i="116" s="1"/>
  <c r="F26" i="70"/>
  <c r="I26" i="70" s="1"/>
  <c r="F26" i="71"/>
  <c r="I26" i="71" s="1"/>
  <c r="F15" i="114"/>
  <c r="I15" i="114" s="1"/>
  <c r="M11" i="55"/>
  <c r="F17" i="62"/>
  <c r="I17" i="62" s="1"/>
  <c r="F17" i="63"/>
  <c r="I17" i="63" s="1"/>
  <c r="F26" i="73"/>
  <c r="I26" i="73" s="1"/>
  <c r="F9" i="72"/>
  <c r="I9" i="72" s="1"/>
  <c r="F9" i="59"/>
  <c r="I9" i="59" s="1"/>
  <c r="I24" i="105"/>
  <c r="I18" i="118"/>
  <c r="F24" i="116"/>
  <c r="I24" i="116" s="1"/>
  <c r="F27" i="57"/>
  <c r="I27" i="57" s="1"/>
  <c r="F10" i="115"/>
  <c r="I10" i="115" s="1"/>
  <c r="F9" i="99"/>
  <c r="I9" i="99" s="1"/>
  <c r="F9" i="70"/>
  <c r="I9" i="70" s="1"/>
  <c r="M52" i="68"/>
  <c r="F17" i="75"/>
  <c r="I17" i="75" s="1"/>
  <c r="F17" i="114"/>
  <c r="I17" i="114" s="1"/>
  <c r="F17" i="70"/>
  <c r="I17" i="70" s="1"/>
  <c r="F13" i="114"/>
  <c r="I13" i="114" s="1"/>
  <c r="F13" i="72"/>
  <c r="I13" i="72" s="1"/>
  <c r="F13" i="73"/>
  <c r="I13" i="73" s="1"/>
  <c r="F24" i="70"/>
  <c r="I24" i="70" s="1"/>
  <c r="F16" i="55"/>
  <c r="I16" i="55" s="1"/>
  <c r="F24" i="75"/>
  <c r="F15" i="57"/>
  <c r="F15" i="99"/>
  <c r="I15" i="99" s="1"/>
  <c r="F23" i="61"/>
  <c r="I23" i="61" s="1"/>
  <c r="F24" i="73"/>
  <c r="I24" i="73" s="1"/>
  <c r="F16" i="116"/>
  <c r="I16" i="116" s="1"/>
  <c r="F24" i="72"/>
  <c r="I24" i="72" s="1"/>
  <c r="K28" i="68"/>
  <c r="K30" i="68"/>
  <c r="F15" i="62"/>
  <c r="I15" i="62" s="1"/>
  <c r="F15" i="63"/>
  <c r="I15" i="63" s="1"/>
  <c r="F16" i="115"/>
  <c r="I16" i="115" s="1"/>
  <c r="F15" i="56"/>
  <c r="I15" i="56" s="1"/>
  <c r="F8" i="116"/>
  <c r="I8" i="116" s="1"/>
  <c r="F7" i="59"/>
  <c r="I7" i="59" s="1"/>
  <c r="F7" i="61"/>
  <c r="I7" i="61" s="1"/>
  <c r="F7" i="114"/>
  <c r="I7" i="114" s="1"/>
  <c r="F7" i="57"/>
  <c r="I7" i="57" s="1"/>
  <c r="F7" i="62"/>
  <c r="I7" i="62" s="1"/>
  <c r="F7" i="99"/>
  <c r="I7" i="99" s="1"/>
  <c r="F7" i="64"/>
  <c r="I7" i="64" s="1"/>
  <c r="F7" i="63"/>
  <c r="I7" i="63" s="1"/>
  <c r="F7" i="56"/>
  <c r="I7" i="56" s="1"/>
  <c r="F7" i="73"/>
  <c r="I7" i="73" s="1"/>
  <c r="F8" i="115"/>
  <c r="I8" i="115" s="1"/>
  <c r="F7" i="70"/>
  <c r="I7" i="70" s="1"/>
  <c r="F29" i="61"/>
  <c r="I29" i="61" s="1"/>
  <c r="F21" i="62"/>
  <c r="I21" i="62" s="1"/>
  <c r="F30" i="114"/>
  <c r="I30" i="114" s="1"/>
  <c r="F30" i="70"/>
  <c r="I30" i="70" s="1"/>
  <c r="F21" i="56"/>
  <c r="I21" i="56" s="1"/>
  <c r="F30" i="73"/>
  <c r="I30" i="73" s="1"/>
  <c r="F30" i="75"/>
  <c r="I30" i="75" s="1"/>
  <c r="F25" i="57"/>
  <c r="I25" i="57" s="1"/>
  <c r="F21" i="59"/>
  <c r="I21" i="59" s="1"/>
  <c r="F14" i="114"/>
  <c r="I14" i="114" s="1"/>
  <c r="F14" i="70"/>
  <c r="I14" i="70" s="1"/>
  <c r="M41" i="68"/>
  <c r="F14" i="75"/>
  <c r="I14" i="75" s="1"/>
  <c r="F14" i="61"/>
  <c r="I14" i="61" s="1"/>
  <c r="F14" i="72"/>
  <c r="I14" i="72" s="1"/>
  <c r="F14" i="71"/>
  <c r="I14" i="71" s="1"/>
  <c r="F14" i="73"/>
  <c r="I14" i="73" s="1"/>
  <c r="F18" i="70"/>
  <c r="I18" i="70" s="1"/>
  <c r="F18" i="75"/>
  <c r="I18" i="75" s="1"/>
  <c r="F18" i="72"/>
  <c r="I18" i="72" s="1"/>
  <c r="F18" i="114"/>
  <c r="I18" i="114" s="1"/>
  <c r="F28" i="71"/>
  <c r="I28" i="71" s="1"/>
  <c r="F28" i="72"/>
  <c r="I28" i="72" s="1"/>
  <c r="F19" i="59"/>
  <c r="I19" i="59" s="1"/>
  <c r="F19" i="56"/>
  <c r="I19" i="56" s="1"/>
  <c r="F19" i="64"/>
  <c r="I19" i="64" s="1"/>
  <c r="F19" i="63"/>
  <c r="I19" i="63" s="1"/>
  <c r="F28" i="70"/>
  <c r="I28" i="70" s="1"/>
  <c r="F23" i="62"/>
  <c r="I23" i="62" s="1"/>
  <c r="F23" i="63"/>
  <c r="I23" i="63" s="1"/>
  <c r="F19" i="71"/>
  <c r="I19" i="71" s="1"/>
  <c r="F15" i="71"/>
  <c r="I15" i="71" s="1"/>
  <c r="F15" i="61"/>
  <c r="I15" i="61" s="1"/>
  <c r="F9" i="73"/>
  <c r="I9" i="73" s="1"/>
  <c r="F9" i="114"/>
  <c r="I9" i="114" s="1"/>
  <c r="F9" i="62"/>
  <c r="I9" i="62" s="1"/>
  <c r="F32" i="72"/>
  <c r="I32" i="72" s="1"/>
  <c r="F9" i="75"/>
  <c r="I9" i="75" s="1"/>
  <c r="F9" i="57"/>
  <c r="I9" i="57" s="1"/>
  <c r="F24" i="55"/>
  <c r="I24" i="55" s="1"/>
  <c r="F15" i="73"/>
  <c r="I15" i="73" s="1"/>
  <c r="F23" i="99"/>
  <c r="I23" i="99" s="1"/>
  <c r="F19" i="70"/>
  <c r="I19" i="70" s="1"/>
  <c r="F19" i="114"/>
  <c r="I19" i="114" s="1"/>
  <c r="F15" i="70"/>
  <c r="I15" i="70" s="1"/>
  <c r="F9" i="71"/>
  <c r="I9" i="71" s="1"/>
  <c r="F9" i="56"/>
  <c r="I9" i="56" s="1"/>
  <c r="F9" i="55"/>
  <c r="I9" i="55" s="1"/>
  <c r="F23" i="59"/>
  <c r="I23" i="59" s="1"/>
  <c r="F9" i="64"/>
  <c r="I9" i="64" s="1"/>
  <c r="F23" i="64"/>
  <c r="I23" i="64" s="1"/>
  <c r="F32" i="70"/>
  <c r="I32" i="70" s="1"/>
  <c r="F32" i="71"/>
  <c r="I32" i="71" s="1"/>
  <c r="I14" i="116"/>
  <c r="I30" i="68"/>
  <c r="I26" i="68"/>
  <c r="M12" i="68"/>
  <c r="I28" i="68"/>
  <c r="F24" i="115"/>
  <c r="F12" i="114"/>
  <c r="I12" i="114" s="1"/>
  <c r="F22" i="114"/>
  <c r="I26" i="105" l="1"/>
  <c r="I29" i="105" s="1"/>
  <c r="I31" i="105" s="1"/>
  <c r="I33" i="105" s="1"/>
  <c r="G57" i="118"/>
  <c r="G59" i="118" s="1"/>
  <c r="M57" i="118"/>
  <c r="M59" i="118" s="1"/>
  <c r="K57" i="118"/>
  <c r="K59" i="118" s="1"/>
  <c r="I57" i="118"/>
  <c r="I59" i="118" s="1"/>
  <c r="I36" i="75"/>
  <c r="F60" i="75" s="1"/>
  <c r="F64" i="75" s="1"/>
  <c r="I36" i="73"/>
  <c r="F60" i="73" s="1"/>
  <c r="G63" i="73" s="1"/>
  <c r="I36" i="70"/>
  <c r="F60" i="70" s="1"/>
  <c r="F62" i="70" s="1"/>
  <c r="F65" i="70" s="1"/>
  <c r="I36" i="72"/>
  <c r="F60" i="72" s="1"/>
  <c r="I36" i="71"/>
  <c r="F60" i="71" s="1"/>
  <c r="I33" i="61"/>
  <c r="I37" i="61" s="1"/>
  <c r="F61" i="61" s="1"/>
  <c r="F63" i="61" s="1"/>
  <c r="F64" i="61" s="1"/>
  <c r="I68" i="61" s="1"/>
  <c r="I22" i="114"/>
  <c r="I36" i="114" s="1"/>
  <c r="F60" i="114" s="1"/>
  <c r="F11" i="62"/>
  <c r="F11" i="71"/>
  <c r="F12" i="116"/>
  <c r="F11" i="63"/>
  <c r="F11" i="70"/>
  <c r="F11" i="61"/>
  <c r="I11" i="55"/>
  <c r="F11" i="99"/>
  <c r="F11" i="114"/>
  <c r="F11" i="64"/>
  <c r="F12" i="115"/>
  <c r="F11" i="55"/>
  <c r="F11" i="56"/>
  <c r="F11" i="73"/>
  <c r="F11" i="72"/>
  <c r="F11" i="57"/>
  <c r="M26" i="68"/>
  <c r="F11" i="59"/>
  <c r="H12" i="55"/>
  <c r="M28" i="68"/>
  <c r="E12" i="68" s="1"/>
  <c r="M30" i="68"/>
  <c r="F11" i="75"/>
  <c r="I24" i="115"/>
  <c r="F61" i="118" l="1"/>
  <c r="F63" i="118" s="1"/>
  <c r="F64" i="70"/>
  <c r="F62" i="75"/>
  <c r="F65" i="75" s="1"/>
  <c r="I73" i="75" s="1"/>
  <c r="G63" i="75"/>
  <c r="G64" i="70"/>
  <c r="F63" i="75"/>
  <c r="I75" i="75"/>
  <c r="I72" i="61"/>
  <c r="I12" i="55"/>
  <c r="I74" i="61"/>
  <c r="I69" i="61"/>
  <c r="I70" i="61"/>
  <c r="I71" i="61"/>
  <c r="I75" i="70"/>
  <c r="I77" i="70"/>
  <c r="I74" i="70"/>
  <c r="I70" i="70"/>
  <c r="I69" i="70"/>
  <c r="I79" i="70"/>
  <c r="I80" i="70"/>
  <c r="I72" i="70"/>
  <c r="I73" i="70"/>
  <c r="I81" i="70"/>
  <c r="I78" i="70"/>
  <c r="I71" i="70"/>
  <c r="I76" i="70"/>
  <c r="I71" i="75"/>
  <c r="G63" i="70"/>
  <c r="F63" i="70"/>
  <c r="F64" i="73"/>
  <c r="F63" i="73"/>
  <c r="F62" i="73"/>
  <c r="F65" i="73" s="1"/>
  <c r="I78" i="75"/>
  <c r="I74" i="75"/>
  <c r="I73" i="61"/>
  <c r="I76" i="61"/>
  <c r="I80" i="61"/>
  <c r="F62" i="71"/>
  <c r="F65" i="71" s="1"/>
  <c r="I75" i="71" s="1"/>
  <c r="H64" i="71"/>
  <c r="F64" i="71"/>
  <c r="F63" i="71"/>
  <c r="G63" i="71"/>
  <c r="I78" i="61"/>
  <c r="I75" i="61"/>
  <c r="I79" i="61"/>
  <c r="I77" i="61"/>
  <c r="G63" i="72"/>
  <c r="F64" i="72"/>
  <c r="F62" i="72"/>
  <c r="F65" i="72" s="1"/>
  <c r="I64" i="72"/>
  <c r="F63" i="72"/>
  <c r="F25" i="56"/>
  <c r="E11" i="56"/>
  <c r="I11" i="56"/>
  <c r="I27" i="56" s="1"/>
  <c r="F49" i="56" s="1"/>
  <c r="M12" i="55"/>
  <c r="M14" i="55" s="1"/>
  <c r="E11" i="55"/>
  <c r="F26" i="55"/>
  <c r="E11" i="63"/>
  <c r="I11" i="63"/>
  <c r="I25" i="63" s="1"/>
  <c r="I29" i="63" s="1"/>
  <c r="F51" i="63" s="1"/>
  <c r="F25" i="63"/>
  <c r="E29" i="61"/>
  <c r="G18" i="68"/>
  <c r="E8" i="115"/>
  <c r="E31" i="61"/>
  <c r="G50" i="68"/>
  <c r="E10" i="115"/>
  <c r="E9" i="57"/>
  <c r="E18" i="55"/>
  <c r="G24" i="68"/>
  <c r="E7" i="61"/>
  <c r="E23" i="59"/>
  <c r="E9" i="55"/>
  <c r="G55" i="68"/>
  <c r="E14" i="55"/>
  <c r="E27" i="61"/>
  <c r="E19" i="59"/>
  <c r="E7" i="63"/>
  <c r="E9" i="59"/>
  <c r="E21" i="56"/>
  <c r="E7" i="56"/>
  <c r="G10" i="68"/>
  <c r="E19" i="99"/>
  <c r="E13" i="63"/>
  <c r="E27" i="57"/>
  <c r="E17" i="99"/>
  <c r="E23" i="56"/>
  <c r="E9" i="64"/>
  <c r="G16" i="68"/>
  <c r="E16" i="55"/>
  <c r="E9" i="61"/>
  <c r="E7" i="59"/>
  <c r="E8" i="116"/>
  <c r="G48" i="68"/>
  <c r="E21" i="99"/>
  <c r="G8" i="68"/>
  <c r="E13" i="62"/>
  <c r="E23" i="61"/>
  <c r="E19" i="62"/>
  <c r="G45" i="68"/>
  <c r="E21" i="57"/>
  <c r="E23" i="64"/>
  <c r="G42" i="68"/>
  <c r="E9" i="63"/>
  <c r="E13" i="64"/>
  <c r="G53" i="68"/>
  <c r="E15" i="59"/>
  <c r="E23" i="57"/>
  <c r="E9" i="56"/>
  <c r="E10" i="116"/>
  <c r="G43" i="68"/>
  <c r="E21" i="64"/>
  <c r="E15" i="99"/>
  <c r="E16" i="116"/>
  <c r="G49" i="68"/>
  <c r="E20" i="115"/>
  <c r="G47" i="68"/>
  <c r="G20" i="68"/>
  <c r="E19" i="63"/>
  <c r="E24" i="55"/>
  <c r="E15" i="56"/>
  <c r="E17" i="62"/>
  <c r="E24" i="116"/>
  <c r="G14" i="68"/>
  <c r="G22" i="68"/>
  <c r="E7" i="64"/>
  <c r="E19" i="56"/>
  <c r="G54" i="68"/>
  <c r="E9" i="99"/>
  <c r="G30" i="68"/>
  <c r="E13" i="99"/>
  <c r="E25" i="61"/>
  <c r="E21" i="61"/>
  <c r="E20" i="116"/>
  <c r="E9" i="62"/>
  <c r="E15" i="57"/>
  <c r="E25" i="57"/>
  <c r="E16" i="115"/>
  <c r="E7" i="57"/>
  <c r="E21" i="62"/>
  <c r="E14" i="115"/>
  <c r="E13" i="57"/>
  <c r="G44" i="68"/>
  <c r="E21" i="59"/>
  <c r="G6" i="68"/>
  <c r="E19" i="64"/>
  <c r="G46" i="68"/>
  <c r="E7" i="99"/>
  <c r="G56" i="68"/>
  <c r="E20" i="55"/>
  <c r="E17" i="63"/>
  <c r="E13" i="59"/>
  <c r="E13" i="56"/>
  <c r="E21" i="63"/>
  <c r="E17" i="59"/>
  <c r="E22" i="116"/>
  <c r="E23" i="99"/>
  <c r="E22" i="115"/>
  <c r="E23" i="62"/>
  <c r="E18" i="116"/>
  <c r="E15" i="62"/>
  <c r="E7" i="55"/>
  <c r="E23" i="63"/>
  <c r="E15" i="64"/>
  <c r="E17" i="56"/>
  <c r="E22" i="55"/>
  <c r="E15" i="63"/>
  <c r="E17" i="64"/>
  <c r="E18" i="115"/>
  <c r="E7" i="62"/>
  <c r="E14" i="116"/>
  <c r="I11" i="59"/>
  <c r="I27" i="59" s="1"/>
  <c r="F48" i="59" s="1"/>
  <c r="E11" i="59"/>
  <c r="F25" i="59"/>
  <c r="E11" i="57"/>
  <c r="F29" i="57"/>
  <c r="I11" i="57"/>
  <c r="I29" i="57" s="1"/>
  <c r="I33" i="57" s="1"/>
  <c r="F49" i="57" s="1"/>
  <c r="E12" i="115"/>
  <c r="I12" i="115"/>
  <c r="I26" i="115" s="1"/>
  <c r="I30" i="115" s="1"/>
  <c r="F52" i="115" s="1"/>
  <c r="F26" i="115"/>
  <c r="I11" i="64"/>
  <c r="E11" i="64"/>
  <c r="F25" i="64"/>
  <c r="I26" i="55"/>
  <c r="I30" i="55" s="1"/>
  <c r="F57" i="55" s="1"/>
  <c r="I12" i="116"/>
  <c r="I26" i="116" s="1"/>
  <c r="I30" i="116" s="1"/>
  <c r="F52" i="116" s="1"/>
  <c r="E12" i="116"/>
  <c r="F26" i="116"/>
  <c r="F33" i="99"/>
  <c r="F48" i="116"/>
  <c r="F32" i="99"/>
  <c r="F45" i="99" s="1"/>
  <c r="F62" i="114"/>
  <c r="F65" i="114" s="1"/>
  <c r="I69" i="114" s="1"/>
  <c r="G63" i="114"/>
  <c r="F64" i="114"/>
  <c r="F63" i="114"/>
  <c r="I77" i="114"/>
  <c r="F34" i="75"/>
  <c r="E11" i="75" s="1"/>
  <c r="F34" i="72"/>
  <c r="E11" i="72" s="1"/>
  <c r="F34" i="114"/>
  <c r="E11" i="114" s="1"/>
  <c r="E11" i="61"/>
  <c r="F33" i="61"/>
  <c r="F34" i="71"/>
  <c r="E11" i="71" s="1"/>
  <c r="E24" i="115"/>
  <c r="G12" i="68"/>
  <c r="E43" i="68"/>
  <c r="E45" i="68"/>
  <c r="E18" i="68"/>
  <c r="E50" i="68"/>
  <c r="E48" i="68"/>
  <c r="E54" i="68"/>
  <c r="E8" i="68"/>
  <c r="E28" i="68"/>
  <c r="E16" i="68"/>
  <c r="E53" i="68"/>
  <c r="E22" i="68"/>
  <c r="E49" i="68"/>
  <c r="E20" i="68"/>
  <c r="E46" i="68"/>
  <c r="E56" i="68"/>
  <c r="E10" i="68"/>
  <c r="E6" i="68"/>
  <c r="E14" i="68"/>
  <c r="E55" i="68"/>
  <c r="E44" i="68"/>
  <c r="E47" i="68"/>
  <c r="E24" i="68"/>
  <c r="G28" i="68"/>
  <c r="E42" i="68"/>
  <c r="E26" i="68"/>
  <c r="G26" i="68"/>
  <c r="F34" i="73"/>
  <c r="E11" i="73" s="1"/>
  <c r="F25" i="99"/>
  <c r="E11" i="99"/>
  <c r="I11" i="99"/>
  <c r="I27" i="99" s="1"/>
  <c r="F49" i="99" s="1"/>
  <c r="F34" i="70"/>
  <c r="E11" i="70" s="1"/>
  <c r="E11" i="62"/>
  <c r="I11" i="62"/>
  <c r="I25" i="62" s="1"/>
  <c r="I29" i="62" s="1"/>
  <c r="F51" i="62" s="1"/>
  <c r="F25" i="62"/>
  <c r="L74" i="118" l="1"/>
  <c r="L79" i="118"/>
  <c r="L71" i="118"/>
  <c r="L68" i="118"/>
  <c r="L73" i="118"/>
  <c r="L75" i="118"/>
  <c r="L69" i="118"/>
  <c r="L76" i="118"/>
  <c r="L67" i="118"/>
  <c r="L78" i="118"/>
  <c r="L77" i="118"/>
  <c r="L70" i="118"/>
  <c r="L72" i="118"/>
  <c r="I79" i="75"/>
  <c r="I80" i="75"/>
  <c r="I70" i="75"/>
  <c r="I77" i="75"/>
  <c r="I72" i="75"/>
  <c r="I69" i="75"/>
  <c r="I81" i="75"/>
  <c r="I76" i="75"/>
  <c r="I82" i="70"/>
  <c r="I86" i="70" s="1"/>
  <c r="I89" i="70" s="1"/>
  <c r="I91" i="70" s="1"/>
  <c r="I94" i="70" s="1"/>
  <c r="H17" i="163" s="1"/>
  <c r="I80" i="114"/>
  <c r="I78" i="114"/>
  <c r="I79" i="73"/>
  <c r="I81" i="73"/>
  <c r="I77" i="73"/>
  <c r="I73" i="73"/>
  <c r="I74" i="73"/>
  <c r="I72" i="73"/>
  <c r="I71" i="73"/>
  <c r="I78" i="73"/>
  <c r="I75" i="73"/>
  <c r="I70" i="73"/>
  <c r="I80" i="73"/>
  <c r="I76" i="73"/>
  <c r="I69" i="73"/>
  <c r="I81" i="61"/>
  <c r="I85" i="61" s="1"/>
  <c r="I88" i="61" s="1"/>
  <c r="I90" i="61" s="1"/>
  <c r="I93" i="61" s="1"/>
  <c r="I75" i="114"/>
  <c r="I71" i="114"/>
  <c r="E33" i="61"/>
  <c r="I76" i="114"/>
  <c r="I80" i="72"/>
  <c r="I74" i="72"/>
  <c r="I75" i="72"/>
  <c r="I81" i="72"/>
  <c r="I69" i="72"/>
  <c r="I76" i="72"/>
  <c r="I72" i="72"/>
  <c r="I70" i="72"/>
  <c r="I73" i="72"/>
  <c r="I71" i="72"/>
  <c r="I78" i="72"/>
  <c r="I79" i="72"/>
  <c r="I77" i="72"/>
  <c r="I73" i="71"/>
  <c r="I70" i="71"/>
  <c r="I71" i="71"/>
  <c r="I76" i="71"/>
  <c r="I79" i="71"/>
  <c r="I72" i="71"/>
  <c r="I69" i="71"/>
  <c r="I77" i="71"/>
  <c r="I74" i="71"/>
  <c r="I80" i="71"/>
  <c r="I78" i="71"/>
  <c r="I81" i="71"/>
  <c r="I81" i="114"/>
  <c r="F53" i="116"/>
  <c r="F54" i="115"/>
  <c r="F55" i="115" s="1"/>
  <c r="E25" i="62"/>
  <c r="E25" i="99"/>
  <c r="E25" i="63"/>
  <c r="E26" i="115"/>
  <c r="E26" i="70"/>
  <c r="E9" i="70"/>
  <c r="E24" i="70"/>
  <c r="E22" i="70"/>
  <c r="E7" i="70"/>
  <c r="E28" i="70"/>
  <c r="E32" i="70"/>
  <c r="E30" i="70"/>
  <c r="I79" i="114"/>
  <c r="I72" i="114"/>
  <c r="I74" i="114"/>
  <c r="F52" i="57"/>
  <c r="F53" i="57" s="1"/>
  <c r="I66" i="57" s="1"/>
  <c r="F51" i="56"/>
  <c r="F52" i="56" s="1"/>
  <c r="F53" i="62"/>
  <c r="F54" i="62" s="1"/>
  <c r="I61" i="62" s="1"/>
  <c r="E22" i="73"/>
  <c r="E7" i="73"/>
  <c r="E28" i="73"/>
  <c r="E32" i="73"/>
  <c r="E30" i="73"/>
  <c r="E26" i="73"/>
  <c r="E24" i="73"/>
  <c r="E9" i="73"/>
  <c r="E32" i="75"/>
  <c r="E22" i="75"/>
  <c r="E30" i="75"/>
  <c r="E28" i="75"/>
  <c r="E9" i="75"/>
  <c r="E26" i="75"/>
  <c r="E24" i="75"/>
  <c r="E7" i="75"/>
  <c r="I70" i="114"/>
  <c r="I73" i="114"/>
  <c r="F54" i="116"/>
  <c r="F55" i="116" s="1"/>
  <c r="I71" i="116" s="1"/>
  <c r="I25" i="64"/>
  <c r="I29" i="64"/>
  <c r="F50" i="64" s="1"/>
  <c r="F49" i="59"/>
  <c r="F51" i="59" s="1"/>
  <c r="F52" i="59" s="1"/>
  <c r="I63" i="59" s="1"/>
  <c r="E26" i="116"/>
  <c r="E25" i="56"/>
  <c r="F53" i="63"/>
  <c r="F54" i="63" s="1"/>
  <c r="E32" i="71"/>
  <c r="E28" i="71"/>
  <c r="E26" i="71"/>
  <c r="E24" i="71"/>
  <c r="E7" i="71"/>
  <c r="E22" i="71"/>
  <c r="E9" i="71"/>
  <c r="E30" i="71"/>
  <c r="E7" i="114"/>
  <c r="E30" i="114"/>
  <c r="E28" i="114"/>
  <c r="E24" i="114"/>
  <c r="E26" i="114"/>
  <c r="E32" i="114"/>
  <c r="E9" i="114"/>
  <c r="E22" i="114"/>
  <c r="E24" i="72"/>
  <c r="E22" i="72"/>
  <c r="E30" i="72"/>
  <c r="E7" i="72"/>
  <c r="E32" i="72"/>
  <c r="E9" i="72"/>
  <c r="E26" i="72"/>
  <c r="E28" i="72"/>
  <c r="F50" i="99"/>
  <c r="F51" i="99" s="1"/>
  <c r="F52" i="99" s="1"/>
  <c r="H60" i="55"/>
  <c r="F60" i="55"/>
  <c r="F59" i="55"/>
  <c r="F62" i="55" s="1"/>
  <c r="I71" i="55" s="1"/>
  <c r="G61" i="55"/>
  <c r="F61" i="55"/>
  <c r="E26" i="55"/>
  <c r="E29" i="57"/>
  <c r="E25" i="64"/>
  <c r="E25" i="59"/>
  <c r="I82" i="75" l="1"/>
  <c r="I86" i="75" s="1"/>
  <c r="I89" i="75" s="1"/>
  <c r="I91" i="75" s="1"/>
  <c r="I94" i="75" s="1"/>
  <c r="L80" i="118"/>
  <c r="L84" i="118" s="1"/>
  <c r="L87" i="118" s="1"/>
  <c r="I96" i="75"/>
  <c r="I99" i="75" s="1"/>
  <c r="I101" i="75"/>
  <c r="I68" i="59"/>
  <c r="F17" i="163"/>
  <c r="G17" i="163"/>
  <c r="I96" i="70"/>
  <c r="I99" i="70" s="1"/>
  <c r="I101" i="70" s="1"/>
  <c r="I103" i="70" s="1"/>
  <c r="I68" i="55"/>
  <c r="I78" i="55"/>
  <c r="E34" i="75"/>
  <c r="I76" i="55"/>
  <c r="I62" i="59"/>
  <c r="I82" i="73"/>
  <c r="I86" i="73" s="1"/>
  <c r="I89" i="73" s="1"/>
  <c r="I91" i="73" s="1"/>
  <c r="I94" i="73" s="1"/>
  <c r="I96" i="73" s="1"/>
  <c r="I99" i="73" s="1"/>
  <c r="I65" i="115"/>
  <c r="I64" i="115"/>
  <c r="H21" i="163"/>
  <c r="F21" i="163" s="1"/>
  <c r="I67" i="59"/>
  <c r="I60" i="59"/>
  <c r="I56" i="59"/>
  <c r="I64" i="59"/>
  <c r="I66" i="59"/>
  <c r="I82" i="71"/>
  <c r="I86" i="71" s="1"/>
  <c r="I89" i="71" s="1"/>
  <c r="I91" i="71" s="1"/>
  <c r="I94" i="71" s="1"/>
  <c r="I101" i="71" s="1"/>
  <c r="I59" i="59"/>
  <c r="I61" i="59"/>
  <c r="I64" i="62"/>
  <c r="I68" i="62"/>
  <c r="I62" i="62"/>
  <c r="I65" i="57"/>
  <c r="I63" i="62"/>
  <c r="I65" i="62"/>
  <c r="I59" i="62"/>
  <c r="I67" i="57"/>
  <c r="I68" i="115"/>
  <c r="I58" i="62"/>
  <c r="I74" i="55"/>
  <c r="I69" i="55"/>
  <c r="I65" i="59"/>
  <c r="I82" i="114"/>
  <c r="I86" i="114" s="1"/>
  <c r="I89" i="114" s="1"/>
  <c r="I91" i="114" s="1"/>
  <c r="I94" i="114" s="1"/>
  <c r="I69" i="62"/>
  <c r="I70" i="62"/>
  <c r="I58" i="57"/>
  <c r="I67" i="115"/>
  <c r="I82" i="72"/>
  <c r="I86" i="72" s="1"/>
  <c r="I89" i="72" s="1"/>
  <c r="I91" i="72" s="1"/>
  <c r="I94" i="72" s="1"/>
  <c r="H19" i="163" s="1"/>
  <c r="I66" i="116"/>
  <c r="I95" i="61"/>
  <c r="I98" i="61" s="1"/>
  <c r="H12" i="163"/>
  <c r="I64" i="99"/>
  <c r="I63" i="99"/>
  <c r="I66" i="99"/>
  <c r="I67" i="99"/>
  <c r="I68" i="99"/>
  <c r="I65" i="99"/>
  <c r="I59" i="99"/>
  <c r="I60" i="99"/>
  <c r="I62" i="99"/>
  <c r="I56" i="99"/>
  <c r="I57" i="99"/>
  <c r="I58" i="99"/>
  <c r="I61" i="99"/>
  <c r="I67" i="63"/>
  <c r="I68" i="63"/>
  <c r="I66" i="63"/>
  <c r="I69" i="63"/>
  <c r="I59" i="63"/>
  <c r="I70" i="63"/>
  <c r="I63" i="63"/>
  <c r="I62" i="63"/>
  <c r="I64" i="63"/>
  <c r="I65" i="63"/>
  <c r="I60" i="63"/>
  <c r="I61" i="63"/>
  <c r="I58" i="63"/>
  <c r="I57" i="56"/>
  <c r="I61" i="56"/>
  <c r="I56" i="56"/>
  <c r="I68" i="56"/>
  <c r="I67" i="56"/>
  <c r="I60" i="56"/>
  <c r="I59" i="56"/>
  <c r="I65" i="56"/>
  <c r="I66" i="56"/>
  <c r="I58" i="56"/>
  <c r="I63" i="56"/>
  <c r="I64" i="56"/>
  <c r="I62" i="56"/>
  <c r="H22" i="163"/>
  <c r="I73" i="55"/>
  <c r="I70" i="55"/>
  <c r="I72" i="55"/>
  <c r="I57" i="59"/>
  <c r="I58" i="59"/>
  <c r="I61" i="116"/>
  <c r="I70" i="116"/>
  <c r="I60" i="116"/>
  <c r="I67" i="116"/>
  <c r="I60" i="62"/>
  <c r="I67" i="62"/>
  <c r="I66" i="62"/>
  <c r="I68" i="57"/>
  <c r="I62" i="57"/>
  <c r="I69" i="115"/>
  <c r="I62" i="115"/>
  <c r="I61" i="115"/>
  <c r="I66" i="55"/>
  <c r="I75" i="55"/>
  <c r="I67" i="55"/>
  <c r="I77" i="55"/>
  <c r="E34" i="114"/>
  <c r="E34" i="71"/>
  <c r="I63" i="116"/>
  <c r="I69" i="116"/>
  <c r="I68" i="116"/>
  <c r="E34" i="73"/>
  <c r="I57" i="57"/>
  <c r="I64" i="57"/>
  <c r="I59" i="57"/>
  <c r="I69" i="57"/>
  <c r="E34" i="70"/>
  <c r="I60" i="115"/>
  <c r="I59" i="115"/>
  <c r="I66" i="115"/>
  <c r="E34" i="72"/>
  <c r="F54" i="64"/>
  <c r="F55" i="64" s="1"/>
  <c r="I71" i="64" s="1"/>
  <c r="I62" i="116"/>
  <c r="I59" i="116"/>
  <c r="I65" i="116"/>
  <c r="I64" i="116"/>
  <c r="I60" i="57"/>
  <c r="I61" i="57"/>
  <c r="I63" i="57"/>
  <c r="I101" i="72"/>
  <c r="I63" i="115"/>
  <c r="I71" i="115"/>
  <c r="I70" i="115"/>
  <c r="L89" i="118" l="1"/>
  <c r="L98" i="118" s="1"/>
  <c r="L100" i="118" s="1"/>
  <c r="L102" i="118" s="1"/>
  <c r="I96" i="72"/>
  <c r="I99" i="72" s="1"/>
  <c r="I101" i="73"/>
  <c r="I103" i="75"/>
  <c r="G21" i="163"/>
  <c r="I71" i="62"/>
  <c r="I75" i="62" s="1"/>
  <c r="I78" i="62" s="1"/>
  <c r="I80" i="62" s="1"/>
  <c r="I83" i="62" s="1"/>
  <c r="I96" i="71"/>
  <c r="I99" i="71" s="1"/>
  <c r="I103" i="71" s="1"/>
  <c r="H18" i="163"/>
  <c r="I69" i="59"/>
  <c r="I73" i="59" s="1"/>
  <c r="I76" i="59" s="1"/>
  <c r="I78" i="59" s="1"/>
  <c r="I81" i="59" s="1"/>
  <c r="I83" i="59" s="1"/>
  <c r="I86" i="59" s="1"/>
  <c r="I60" i="64"/>
  <c r="I103" i="73"/>
  <c r="I103" i="72"/>
  <c r="I100" i="61"/>
  <c r="I102" i="61" s="1"/>
  <c r="H20" i="163"/>
  <c r="I96" i="114"/>
  <c r="I99" i="114" s="1"/>
  <c r="I101" i="114"/>
  <c r="F19" i="163"/>
  <c r="G19" i="163"/>
  <c r="I68" i="64"/>
  <c r="I72" i="115"/>
  <c r="I76" i="115" s="1"/>
  <c r="I79" i="115" s="1"/>
  <c r="I69" i="56"/>
  <c r="I73" i="56" s="1"/>
  <c r="I76" i="56" s="1"/>
  <c r="I72" i="116"/>
  <c r="I76" i="116" s="1"/>
  <c r="I79" i="116" s="1"/>
  <c r="I61" i="64"/>
  <c r="I64" i="64"/>
  <c r="I65" i="64"/>
  <c r="I63" i="64"/>
  <c r="I79" i="55"/>
  <c r="I83" i="55" s="1"/>
  <c r="I86" i="55" s="1"/>
  <c r="G22" i="163"/>
  <c r="F22" i="163"/>
  <c r="G12" i="163"/>
  <c r="F12" i="163"/>
  <c r="I67" i="64"/>
  <c r="I62" i="64"/>
  <c r="I69" i="64"/>
  <c r="I70" i="64"/>
  <c r="I66" i="64"/>
  <c r="I59" i="64"/>
  <c r="I70" i="57"/>
  <c r="I74" i="57" s="1"/>
  <c r="I77" i="57" s="1"/>
  <c r="I71" i="63"/>
  <c r="I75" i="63" s="1"/>
  <c r="I78" i="63" s="1"/>
  <c r="I69" i="99"/>
  <c r="I73" i="99" s="1"/>
  <c r="I76" i="99" s="1"/>
  <c r="H11" i="163" l="1"/>
  <c r="L92" i="118"/>
  <c r="I103" i="114"/>
  <c r="G18" i="163"/>
  <c r="F18" i="163"/>
  <c r="I72" i="64"/>
  <c r="I76" i="64" s="1"/>
  <c r="I79" i="64" s="1"/>
  <c r="I88" i="59"/>
  <c r="I90" i="59" s="1"/>
  <c r="I85" i="62"/>
  <c r="I88" i="62" s="1"/>
  <c r="I90" i="62"/>
  <c r="H13" i="163"/>
  <c r="I78" i="99"/>
  <c r="I82" i="99" s="1"/>
  <c r="I88" i="55"/>
  <c r="I91" i="55" s="1"/>
  <c r="I79" i="57"/>
  <c r="I88" i="57" s="1"/>
  <c r="I81" i="116"/>
  <c r="I85" i="116" s="1"/>
  <c r="I78" i="56"/>
  <c r="I82" i="56" s="1"/>
  <c r="F20" i="163"/>
  <c r="G20" i="163"/>
  <c r="I80" i="63"/>
  <c r="I83" i="63" s="1"/>
  <c r="F11" i="163"/>
  <c r="G11" i="163"/>
  <c r="I81" i="115"/>
  <c r="I85" i="115" s="1"/>
  <c r="I81" i="64"/>
  <c r="I84" i="64" s="1"/>
  <c r="H16" i="163" l="1"/>
  <c r="L94" i="118"/>
  <c r="H15" i="163"/>
  <c r="I86" i="64"/>
  <c r="I89" i="64" s="1"/>
  <c r="I91" i="64"/>
  <c r="I84" i="99"/>
  <c r="I87" i="99" s="1"/>
  <c r="I87" i="116"/>
  <c r="I90" i="116" s="1"/>
  <c r="H9" i="163"/>
  <c r="I93" i="55"/>
  <c r="I96" i="55" s="1"/>
  <c r="I90" i="57"/>
  <c r="I92" i="57" s="1"/>
  <c r="I82" i="57"/>
  <c r="I90" i="63"/>
  <c r="H14" i="163"/>
  <c r="I85" i="63"/>
  <c r="I88" i="63" s="1"/>
  <c r="I84" i="56"/>
  <c r="I87" i="56" s="1"/>
  <c r="I92" i="62"/>
  <c r="H8" i="163"/>
  <c r="I87" i="115"/>
  <c r="I90" i="115" s="1"/>
  <c r="G13" i="163"/>
  <c r="F13" i="163"/>
  <c r="G16" i="163" l="1"/>
  <c r="F16" i="163"/>
  <c r="I92" i="63"/>
  <c r="I89" i="56"/>
  <c r="I91" i="56" s="1"/>
  <c r="I98" i="55"/>
  <c r="I100" i="55" s="1"/>
  <c r="I92" i="115"/>
  <c r="I94" i="115" s="1"/>
  <c r="I92" i="116"/>
  <c r="I94" i="116" s="1"/>
  <c r="I84" i="57"/>
  <c r="H10" i="163"/>
  <c r="G9" i="163"/>
  <c r="F9" i="163"/>
  <c r="I93" i="64"/>
  <c r="G8" i="163"/>
  <c r="F8" i="163"/>
  <c r="G14" i="163"/>
  <c r="F14" i="163"/>
  <c r="I91" i="99"/>
  <c r="I89" i="99"/>
  <c r="F15" i="163"/>
  <c r="G15" i="163"/>
  <c r="F10" i="163" l="1"/>
  <c r="G10" i="163"/>
  <c r="H24" i="163"/>
</calcChain>
</file>

<file path=xl/sharedStrings.xml><?xml version="1.0" encoding="utf-8"?>
<sst xmlns="http://schemas.openxmlformats.org/spreadsheetml/2006/main" count="1748" uniqueCount="438">
  <si>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</si>
  <si>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</si>
  <si>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</si>
  <si>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</si>
  <si>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</si>
  <si>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</si>
  <si>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</si>
  <si>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</si>
  <si>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</si>
  <si>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</si>
  <si>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</si>
  <si>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</si>
  <si>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</si>
  <si>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</si>
  <si>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</si>
  <si>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ev. Zusatzpunkte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</si>
  <si>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</si>
  <si>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</si>
  <si>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</si>
  <si>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</si>
  <si>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</si>
  <si>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</si>
  <si>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</si>
  <si>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</si>
  <si>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</si>
  <si>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</si>
  <si>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</si>
  <si>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</si>
  <si>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</si>
  <si>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</si>
  <si>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</si>
  <si>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</si>
  <si>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</si>
  <si>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</si>
  <si>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</si>
  <si>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</si>
  <si>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</si>
  <si>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</si>
  <si>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</si>
  <si>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</si>
  <si>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</si>
  <si>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</si>
  <si>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</si>
  <si>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</si>
  <si>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</si>
  <si>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</si>
  <si>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</si>
  <si>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</si>
  <si>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</si>
  <si>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</si>
  <si>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</si>
  <si>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</si>
  <si>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</si>
  <si>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</si>
  <si>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</si>
  <si>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</si>
  <si>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6 bis 14</t>
  </si>
  <si>
    <t>1 bis 3</t>
  </si>
  <si>
    <t>6 bis 42</t>
  </si>
  <si>
    <t>Basis b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</si>
  <si>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0,044 x b</t>
    </r>
    <r>
      <rPr>
        <vertAlign val="subscript"/>
        <sz val="10"/>
        <rFont val="Arial"/>
        <family val="2"/>
      </rPr>
      <t xml:space="preserve">w </t>
    </r>
    <r>
      <rPr>
        <sz val="10"/>
        <rFont val="Arial"/>
        <family val="2"/>
      </rPr>
      <t>+ 0,66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]</t>
    </r>
  </si>
  <si>
    <t xml:space="preserve">          Mitwirkung an der Vergabe</t>
  </si>
  <si>
    <r>
      <t>%-Satz für FA [h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= b / BMGL x 100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</si>
  <si>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8 bis 42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</si>
  <si>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</si>
  <si>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</si>
  <si>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r>
      <t>%-Satz für TW [h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= 37,056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</si>
  <si>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 xml:space="preserve"> = 0,021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+ 0,761]</t>
    </r>
  </si>
  <si>
    <r>
      <t>Vergütung VBPT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</si>
  <si>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t xml:space="preserve">LPH 5 Ausführungsplanung </t>
  </si>
  <si>
    <t>LPH 8 Örtliche Bauaufsicht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</si>
  <si>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110,07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</si>
  <si>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bwS</t>
    </r>
    <r>
      <rPr>
        <sz val="10"/>
        <rFont val="Arial"/>
        <family val="2"/>
      </rPr>
      <t xml:space="preserve"> = 0,013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+ 0,923]</t>
    </r>
  </si>
  <si>
    <r>
      <t>Vergütung VBPS = BMGL x h</t>
    </r>
    <r>
      <rPr>
        <vertAlign val="subscript"/>
        <sz val="10"/>
        <rFont val="Arial"/>
        <family val="2"/>
      </rPr>
      <t>BPS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</si>
  <si>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r>
      <t>%-Satz für BPS [h</t>
    </r>
    <r>
      <rPr>
        <vertAlign val="subscript"/>
        <sz val="10"/>
        <rFont val="Arial"/>
        <family val="2"/>
      </rPr>
      <t>BPS</t>
    </r>
    <r>
      <rPr>
        <sz val="10"/>
        <rFont val="Arial"/>
        <family val="2"/>
      </rPr>
      <t xml:space="preserve"> = 506,2538 x (BMGL)</t>
    </r>
    <r>
      <rPr>
        <vertAlign val="superscript"/>
        <sz val="10"/>
        <rFont val="Arial"/>
        <family val="2"/>
      </rPr>
      <t>(-0,5074)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</si>
  <si>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bwA</t>
    </r>
    <r>
      <rPr>
        <sz val="10"/>
        <rFont val="Arial"/>
        <family val="2"/>
      </rPr>
      <t xml:space="preserve"> = 0,057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+ 0,367]</t>
    </r>
  </si>
  <si>
    <r>
      <t>%-Satz für BPA [h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= 439,8031 x (BMGL)</t>
    </r>
    <r>
      <rPr>
        <vertAlign val="superscript"/>
        <sz val="10"/>
        <rFont val="Arial"/>
        <family val="2"/>
      </rPr>
      <t>(-0,4760)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</si>
  <si>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Bemessungsgrundlage gesamt: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</si>
  <si>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</si>
  <si>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</si>
  <si>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t>LPH 8 Fachbauaufsicht + Dokumentation</t>
  </si>
  <si>
    <t xml:space="preserve">%-Satz für TA </t>
  </si>
  <si>
    <t>ERK %</t>
  </si>
  <si>
    <t>Anforderungsmerkmale/Bewertungspunkte</t>
  </si>
  <si>
    <r>
      <t>%-Satz für GPb [h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= (-0,0778 x LN(BMGL) + 2,022)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</si>
  <si>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0,0198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+ 0,9406]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</si>
  <si>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</si>
  <si>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r>
      <t>&lt;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40,00 x (BMGL)</t>
    </r>
    <r>
      <rPr>
        <vertAlign val="superscript"/>
        <sz val="10"/>
        <rFont val="Arial"/>
        <family val="2"/>
      </rPr>
      <t>(-0,1208)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</si>
  <si>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12,2611 x (BMGL)</t>
    </r>
    <r>
      <rPr>
        <vertAlign val="superscript"/>
        <sz val="10"/>
        <rFont val="Arial"/>
        <family val="2"/>
      </rPr>
      <t>(-0,0394)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</si>
  <si>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Vergütung VOA = BMGL x 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</si>
  <si>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t>selbstständiger Auftrag</t>
  </si>
  <si>
    <t>in Zusammenhang mit baulichen Planungsleistungen</t>
  </si>
  <si>
    <r>
      <t>Vergütung VED = BMGL x h</t>
    </r>
    <r>
      <rPr>
        <vertAlign val="subscript"/>
        <sz val="10"/>
        <rFont val="Arial"/>
        <family val="2"/>
      </rPr>
      <t>ED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</si>
  <si>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</si>
  <si>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</si>
  <si>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 xml:space="preserve">               </t>
  </si>
  <si>
    <r>
      <rPr>
        <b/>
        <sz val="8"/>
        <color indexed="8"/>
        <rFont val="Arial"/>
        <family val="2"/>
      </rPr>
      <t>Generalplaner Management 2.b</t>
    </r>
    <r>
      <rPr>
        <sz val="8"/>
        <color indexed="8"/>
        <rFont val="Arial"/>
        <family val="2"/>
      </rPr>
      <t xml:space="preserve">                              nach VM.GP.2014</t>
    </r>
  </si>
  <si>
    <t>%-Satz für OA (Planung + ÖBA)</t>
  </si>
  <si>
    <t>LPH 1 Grundlagenanalyse</t>
  </si>
  <si>
    <r>
      <t>Vergütung VFA = BMGL x 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</si>
  <si>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t>LPH 5 Ausführungsplanung + Dokumentation</t>
  </si>
  <si>
    <t>LPH 6 Mitwirkung an Ausschreibung</t>
  </si>
  <si>
    <t>LPH 8 Bewehrungsabnahmen, Betonprüfung</t>
  </si>
  <si>
    <t>LPH 9 -</t>
  </si>
  <si>
    <t xml:space="preserve">LPH 7 Begleitung der Bauausführung 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</si>
  <si>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</si>
  <si>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Ermittlung Bemessungsgrundlage (BMGL)</t>
  </si>
  <si>
    <t>(PL + ÖBA)</t>
  </si>
  <si>
    <t xml:space="preserve">Bruttorauminhalt (BRI) gesamt: </t>
  </si>
  <si>
    <t>Bruttorauminhalt (BRI) betrachteter Raum:</t>
  </si>
  <si>
    <r>
      <t>PLANUNGSLEISTUNGEN</t>
    </r>
    <r>
      <rPr>
        <sz val="10"/>
        <color indexed="8"/>
        <rFont val="Arial"/>
        <family val="2"/>
      </rPr>
      <t xml:space="preserve"> (GP)</t>
    </r>
  </si>
  <si>
    <t xml:space="preserve">Summe Teil Einrichtungsplanung-Design brutto </t>
  </si>
  <si>
    <t>Summe Teil Einrichtungsplanung-Design ohne Nebenkosten</t>
  </si>
  <si>
    <t>Stundenpool (optionale Leistungen)</t>
  </si>
  <si>
    <t>in Zusammenhang mit OA:</t>
  </si>
  <si>
    <r>
      <t>%-Satz für ED [h1ED = 60,0 x (BMGL)</t>
    </r>
    <r>
      <rPr>
        <vertAlign val="superscript"/>
        <sz val="10"/>
        <color indexed="8"/>
        <rFont val="Arial"/>
        <family val="2"/>
      </rPr>
      <t>(-0,1045)</t>
    </r>
    <r>
      <rPr>
        <sz val="10"/>
        <color indexed="8"/>
        <rFont val="Arial"/>
        <family val="2"/>
      </rPr>
      <t xml:space="preserve"> x fbw]</t>
    </r>
  </si>
  <si>
    <t xml:space="preserve">KGR 1-9 ERRICHTUNGSKOSTEN    </t>
  </si>
  <si>
    <t xml:space="preserve">KGR 1-6 BAUKOSTEN                   </t>
  </si>
  <si>
    <t xml:space="preserve">KGR 2-4 BAUWERKSKOSTEN         </t>
  </si>
  <si>
    <t xml:space="preserve">Projekt: </t>
  </si>
  <si>
    <t>KGR</t>
  </si>
  <si>
    <t>MITZUVERARBEITENDE BAUSUBSTANZ</t>
  </si>
  <si>
    <t>BRI</t>
  </si>
  <si>
    <t>geschätzter Wert</t>
  </si>
  <si>
    <t>mvB = BRI x 50-60 €/m³</t>
  </si>
  <si>
    <t>Gewerkehauptgruppen</t>
  </si>
  <si>
    <t>GRUND</t>
  </si>
  <si>
    <r>
      <t xml:space="preserve">NEBENKOSTEN </t>
    </r>
    <r>
      <rPr>
        <sz val="9"/>
        <rFont val="Arial"/>
        <family val="2"/>
      </rPr>
      <t>(Bewilligungen, Anschl.geb., …)</t>
    </r>
  </si>
  <si>
    <t>Übersiedelungsgut</t>
  </si>
  <si>
    <t>BK %</t>
  </si>
  <si>
    <t>Ö Norm
B 1801</t>
  </si>
  <si>
    <t>3. 01</t>
  </si>
  <si>
    <t>3. 02</t>
  </si>
  <si>
    <t>3. 03</t>
  </si>
  <si>
    <t>3. 04</t>
  </si>
  <si>
    <t>3. 05</t>
  </si>
  <si>
    <t>3. 06</t>
  </si>
  <si>
    <t>3. 07</t>
  </si>
  <si>
    <t>3. 08</t>
  </si>
  <si>
    <t>5. 01</t>
  </si>
  <si>
    <t>5. 02</t>
  </si>
  <si>
    <t>(A) Projekt über 100 Mio €</t>
  </si>
  <si>
    <t>(B) mehr als 20 Nutzer, Planungsbeteiligte</t>
  </si>
  <si>
    <t>(C) starke terminliche Verdichtung</t>
  </si>
  <si>
    <t>(D) starke terminliche Verdichtung</t>
  </si>
  <si>
    <t xml:space="preserve">(A) Kostendeckel Wiederholungen </t>
  </si>
  <si>
    <t xml:space="preserve">(D) Kostendeckel Wiederholungen </t>
  </si>
  <si>
    <t xml:space="preserve">(A) mehr als 50 Ausführungsbeteiligte </t>
  </si>
  <si>
    <t>4 bis 7</t>
  </si>
  <si>
    <t>3 bis 5</t>
  </si>
  <si>
    <t>Nachlass / Aufschlag</t>
  </si>
  <si>
    <t xml:space="preserve">(B) mehr als 50 Ausführungsbeteiligte </t>
  </si>
  <si>
    <t xml:space="preserve">(C) vertiefte Kostenschätzung </t>
  </si>
  <si>
    <t>(C) vertiefte Kostenberechnung</t>
  </si>
  <si>
    <t>(C) vertiefte Kostensteuerung (MW)</t>
  </si>
  <si>
    <t>(D) vertiefte Terminplanung und Kontrolle (MW)</t>
  </si>
  <si>
    <t>(_) Mitwirkung Kostenmanagement</t>
  </si>
  <si>
    <t>2 bis 4</t>
  </si>
  <si>
    <t>5 bis 9</t>
  </si>
  <si>
    <t>5 bis 7</t>
  </si>
  <si>
    <t>4 bis 6</t>
  </si>
  <si>
    <t>12 bis 16</t>
  </si>
  <si>
    <t>10 bis 12</t>
  </si>
  <si>
    <t>4 bis 8</t>
  </si>
  <si>
    <t>optionale Leistungen</t>
  </si>
  <si>
    <t xml:space="preserve">NEBENKOSTEN </t>
  </si>
  <si>
    <t>PLANUNGSLEISTUNGEN</t>
  </si>
  <si>
    <t>BAUWERK – TECHNIK (Abminderung)</t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</si>
  <si>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/>
    </r>
  </si>
  <si>
    <r>
      <t>(f</t>
    </r>
    <r>
      <rPr>
        <vertAlign val="subscript"/>
        <sz val="10"/>
        <color indexed="23"/>
        <rFont val="Arial"/>
        <family val="2"/>
      </rPr>
      <t>LPH</t>
    </r>
    <r>
      <rPr>
        <sz val="10"/>
        <color indexed="23"/>
        <rFont val="Arial"/>
        <family val="2"/>
      </rPr>
      <t xml:space="preserve"> = 100%)</t>
    </r>
  </si>
  <si>
    <t>Leistungsphasen</t>
  </si>
  <si>
    <t>Vergütungsermittlung / Honorarsatz</t>
  </si>
  <si>
    <t>Vergütungsermittlung / Honorar</t>
  </si>
  <si>
    <t>2 bis 3</t>
  </si>
  <si>
    <r>
      <t>(f</t>
    </r>
    <r>
      <rPr>
        <vertAlign val="subscript"/>
        <sz val="10"/>
        <color indexed="23"/>
        <rFont val="Arial"/>
        <family val="2"/>
      </rPr>
      <t>LPH</t>
    </r>
    <r>
      <rPr>
        <sz val="10"/>
        <color indexed="23"/>
        <rFont val="Arial"/>
        <family val="2"/>
      </rPr>
      <t xml:space="preserve"> = 100%)</t>
    </r>
  </si>
  <si>
    <t>Summe Teil Einrichtungsplanung-Design netto inkl. NK ohne NL</t>
  </si>
  <si>
    <t>Summe Teil Einrichtungsplanung-Design netto inkl. NK und NL</t>
  </si>
  <si>
    <t>Summe Teil Technische Ausrüstung - Nutzungsspez. Anlagen ohne Nebenkosten</t>
  </si>
  <si>
    <t>Summe Teil Technische Ausrüstung - Nutzungsspez. Anlagen netto inkl. NK ohne NL</t>
  </si>
  <si>
    <t>Summe Teil Technische Ausrüstung - Nutzungsspez. Anlagen netto inkl. NK und NL</t>
  </si>
  <si>
    <t xml:space="preserve">Summe Teil Technische Ausrüstung - Nutzungsspez. Anlagen brutto </t>
  </si>
  <si>
    <t>(A) Kostendeckel</t>
  </si>
  <si>
    <t>(B) mehr als 50 beteiligte ausführende Unternehmen</t>
  </si>
  <si>
    <t>(D) Kostendeckel</t>
  </si>
  <si>
    <t>1 bis 2</t>
  </si>
  <si>
    <t>(B) mehr als 20 Planungsbeteiligte</t>
  </si>
  <si>
    <t>( ) Mitwirkung an vertieften Kostenplanung</t>
  </si>
  <si>
    <t>( ) Mitwirkung an vertieften Terminplanung</t>
  </si>
  <si>
    <t>2 bis 5</t>
  </si>
  <si>
    <t>Planungsleistungen</t>
  </si>
  <si>
    <r>
      <t>Prozentsatz d. beauftr.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</si>
  <si>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t>Vergütung VED = BMGL x hED x fLPH</t>
  </si>
  <si>
    <r>
      <t>Vergütung VFA = BMGL x h</t>
    </r>
    <r>
      <rPr>
        <vertAlign val="subscript"/>
        <sz val="10"/>
        <rFont val="Arial"/>
        <family val="2"/>
      </rPr>
      <t>FA</t>
    </r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</si>
  <si>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</t>
    </r>
  </si>
  <si>
    <t>Summe Tragwerksplanung ohne Nebenkosten</t>
  </si>
  <si>
    <t>Summe Tragwerksplanung netto inkl. NK ohne NL</t>
  </si>
  <si>
    <t>Summe Tragwerksplanung netto inkl. NK und NL</t>
  </si>
  <si>
    <t xml:space="preserve">Summe Tragwerksplanung brutto </t>
  </si>
  <si>
    <r>
      <t>Vergütung VBPT = BMGL x h</t>
    </r>
    <r>
      <rPr>
        <vertAlign val="subscript"/>
        <sz val="10"/>
        <rFont val="Arial"/>
        <family val="2"/>
      </rPr>
      <t>BPT</t>
    </r>
  </si>
  <si>
    <t>Summe Thermische Bauphysik ohne Nebenkosten</t>
  </si>
  <si>
    <t>Summe Thermische Bauphysik netto inkl. NK ohne NL</t>
  </si>
  <si>
    <t>Summe Thermische Bauphysik netto inkl. NK und NL</t>
  </si>
  <si>
    <t xml:space="preserve">Summe Thermische Bauphysik brutto </t>
  </si>
  <si>
    <r>
      <t>Vergütung VBPS = BMGL x h</t>
    </r>
    <r>
      <rPr>
        <vertAlign val="subscript"/>
        <sz val="10"/>
        <rFont val="Arial"/>
        <family val="2"/>
      </rPr>
      <t>BPS</t>
    </r>
  </si>
  <si>
    <t>Summe Bauphysik Schallschutz ohne Nebenkosten</t>
  </si>
  <si>
    <t>Summe Bauphysik Schallschutz netto inkl. NK ohne NL</t>
  </si>
  <si>
    <t>Summe Bauphysik Schallschutz netto inkl. NK und NL</t>
  </si>
  <si>
    <t xml:space="preserve">Summe Bauphysik Schallschutz brutto </t>
  </si>
  <si>
    <r>
      <t>Vergütung VBPA = BMGL x 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</si>
  <si>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r>
      <t>Vergütung VBPA = BMGL x 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/ BRI x betrachteter Raum</t>
    </r>
  </si>
  <si>
    <t xml:space="preserve">Summe Bauphysik Raumakustik brutto </t>
  </si>
  <si>
    <t>Summe Bauphysik Raumakustik netto inkl. NK und NL</t>
  </si>
  <si>
    <t>Summe Bauphysik Raumakustik netto inkl. NK ohne NL</t>
  </si>
  <si>
    <t>Summe Bauphysik Raumakustik ohne Nebenkosten</t>
  </si>
  <si>
    <r>
      <t>Vergütung VTA = BMGL x h</t>
    </r>
    <r>
      <rPr>
        <vertAlign val="subscript"/>
        <sz val="10"/>
        <rFont val="Arial"/>
        <family val="2"/>
      </rPr>
      <t>TA</t>
    </r>
  </si>
  <si>
    <t>Summe Technische Ausrüstung - HKLS ohne Nebenkosten</t>
  </si>
  <si>
    <t>Summe Technische Ausrüstung - HKLS netto inkl. NK ohne NL</t>
  </si>
  <si>
    <t>Summe Technische Ausrüstung - HKLS netto inkl. NK und NL</t>
  </si>
  <si>
    <t xml:space="preserve">Summe Technische Ausrüstung - HKLS brutto </t>
  </si>
  <si>
    <t>Summe Technische Ausrüstung - ELT ohne Nebenkosten</t>
  </si>
  <si>
    <t>Summe Technische Ausrüstung - ELT netto inkl. NK ohne NL</t>
  </si>
  <si>
    <t>Summe Technische Ausrüstung - ELT netto inkl. NK und NL</t>
  </si>
  <si>
    <t xml:space="preserve">Summe Technische Ausrüstung - ELT brutto </t>
  </si>
  <si>
    <t>Summe Technische Ausrüstung - FÖTE ohne Nebenkosten</t>
  </si>
  <si>
    <t>Summe Technische Ausrüstung - FÖTE netto inkl. NK ohne NL</t>
  </si>
  <si>
    <t>Summe Technische Ausrüstung - FÖTE netto inkl. NK und NL</t>
  </si>
  <si>
    <t xml:space="preserve">Summe Technische Ausrüstung - FÖTE brutto </t>
  </si>
  <si>
    <t>Summe Technische Ausrüstung - MSR ohne Nebenkosten</t>
  </si>
  <si>
    <t>Summe Technische Ausrüstung - MSR netto inkl. NK ohne NL</t>
  </si>
  <si>
    <t>Summe Technische Ausrüstung - MSR netto inkl. NK und NL</t>
  </si>
  <si>
    <t xml:space="preserve">Summe Technische Ausrüstung - MSR brutto </t>
  </si>
  <si>
    <t>Detailaufgliederung der Leistungen 
(netto, inkl. Nebenkosten)</t>
  </si>
  <si>
    <t>Objektplanung Architektur</t>
  </si>
  <si>
    <t>Einrichtungsplanung</t>
  </si>
  <si>
    <t>Tragwerksplanung</t>
  </si>
  <si>
    <t>Thermische Bauphysik</t>
  </si>
  <si>
    <t>Bauphysik Schallschutz</t>
  </si>
  <si>
    <t>Bauphysik Raumakustik</t>
  </si>
  <si>
    <t>Technische Ausrüstung - HKLS</t>
  </si>
  <si>
    <t>Technische Ausrüstung - Elektrotechnik</t>
  </si>
  <si>
    <t>Technische Ausrüstung - Fördertechnik</t>
  </si>
  <si>
    <t>Technische Ausrüstung - Nutzungsspezifische Anlagen</t>
  </si>
  <si>
    <t>Technische Ausrüstung - MSR</t>
  </si>
  <si>
    <t>Zusammenstellung der LB.Gesamtabwicklung</t>
  </si>
  <si>
    <t>Z</t>
  </si>
  <si>
    <t>5. 03</t>
  </si>
  <si>
    <t>5. 04</t>
  </si>
  <si>
    <t>Einbaumöbel</t>
  </si>
  <si>
    <t>Serienmöbel</t>
  </si>
  <si>
    <t>Summe Generalplaner Mangement ohne Nebenkosten</t>
  </si>
  <si>
    <t>Summe Generalplaner Management inkl. NK ohne NL</t>
  </si>
  <si>
    <t>Summe Generalplaner Management netto inkl. NK und NL</t>
  </si>
  <si>
    <t xml:space="preserve">Summe Generalplaner Management brutto </t>
  </si>
  <si>
    <t>Summe Objektplanung Architekt ohne Nebenkosten</t>
  </si>
  <si>
    <t>Summe Objektplanung Architekt netto inkl. NK ohne NL</t>
  </si>
  <si>
    <t>Summe Objektplanung Architekt netto inkl. NK und NL</t>
  </si>
  <si>
    <t>Summe Objektplanung Architekt brutto</t>
  </si>
  <si>
    <r>
      <rPr>
        <b/>
        <sz val="8"/>
        <color indexed="8"/>
        <rFont val="Arial"/>
        <family val="2"/>
      </rPr>
      <t>Generalplaner Leitung 2.a</t>
    </r>
    <r>
      <rPr>
        <sz val="8"/>
        <color indexed="8"/>
        <rFont val="Arial"/>
        <family val="2"/>
      </rPr>
      <t xml:space="preserve">                              nach VM.GP.2014</t>
    </r>
  </si>
  <si>
    <r>
      <t>Vergütung VGPa = BMGL x 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</si>
  <si>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r>
      <t>Vergütung VGPa = BMGL x h</t>
    </r>
    <r>
      <rPr>
        <vertAlign val="subscript"/>
        <sz val="10"/>
        <rFont val="Arial"/>
        <family val="2"/>
      </rPr>
      <t>GPa</t>
    </r>
  </si>
  <si>
    <t>Summe</t>
  </si>
  <si>
    <t>Summe Generalplaner Leitung ohne Nebenkosten</t>
  </si>
  <si>
    <t>Summe Generalplaner Leitung inkl. NK ohne NL</t>
  </si>
  <si>
    <t>Summe Generalplaner Leitung netto inkl. NK und NL</t>
  </si>
  <si>
    <t xml:space="preserve">Summe Generalplaner Leitung brutto </t>
  </si>
  <si>
    <r>
      <t>%-Satz für GPa [h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= (-0,0466 x LN(BMGL) + 1,213)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</si>
  <si>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( ) Ausführung durch AG in Eigenregie</t>
  </si>
  <si>
    <t>( ) Ausführung durch Privatpersonen in Eigenregie</t>
  </si>
  <si>
    <t>Summe Freianlagen + Verkehr ohne Nebenkosten</t>
  </si>
  <si>
    <t>Summe Freianlagen + Verkehr netto inkl. NK ohne NL</t>
  </si>
  <si>
    <t>nach Abschätzen des Aufwandes - Pauschale</t>
  </si>
  <si>
    <t>Brandschutz</t>
  </si>
  <si>
    <t>technischer Brandschutz</t>
  </si>
  <si>
    <t>Fluchtwege, Stellplätze</t>
  </si>
  <si>
    <t>Baustellenbrandschutzordnung</t>
  </si>
  <si>
    <t>MW Mängelprüfungen</t>
  </si>
  <si>
    <t>Begehungen vor Ort, Beratung ÖBA</t>
  </si>
  <si>
    <t>MW Fertigstellungsanzeige</t>
  </si>
  <si>
    <t>brandschutztechnische Prüfung der M+W Planung</t>
  </si>
  <si>
    <t>Entrauchung</t>
  </si>
  <si>
    <t>Bewertung Technikgeschoss</t>
  </si>
  <si>
    <t>MW Technikgeschoss Aufschalten</t>
  </si>
  <si>
    <t>Summe Brandschutz ohne Nebenkosten</t>
  </si>
  <si>
    <t>Summe Brandschutz inkl. NK</t>
  </si>
  <si>
    <t xml:space="preserve">Summe Brandschutz brutto </t>
  </si>
  <si>
    <t>Modelle, Schaubilder</t>
  </si>
  <si>
    <t>Wandabwicklungen</t>
  </si>
  <si>
    <t>Wirtschaftlichkeit LCC</t>
  </si>
  <si>
    <t xml:space="preserve">Raumbuch </t>
  </si>
  <si>
    <t>Wartungsplanung</t>
  </si>
  <si>
    <t>Optionale Leistungen - Beispiele:</t>
  </si>
  <si>
    <t>Zusatzgenehm., Fertigstellung</t>
  </si>
  <si>
    <t>Fortschreiben Kostenpla. LPH 5</t>
  </si>
  <si>
    <t>Übergabepläne, Bestandspläne</t>
  </si>
  <si>
    <t>CAD-Files</t>
  </si>
  <si>
    <t>Fertigstellungsanzeige</t>
  </si>
  <si>
    <t>Einschulungen</t>
  </si>
  <si>
    <t>Kostenfeststellung</t>
  </si>
  <si>
    <t>Projektdoku</t>
  </si>
  <si>
    <t>Bauteilkatalog</t>
  </si>
  <si>
    <t>Raumbuch, Nutzerhandbuch</t>
  </si>
  <si>
    <t>Luftdichtheitsprüfung</t>
  </si>
  <si>
    <t>Bestandsaufnahme</t>
  </si>
  <si>
    <t>Substanzerkundung</t>
  </si>
  <si>
    <t>Lichtplanung</t>
  </si>
  <si>
    <t>Leitsystem</t>
  </si>
  <si>
    <t>Freianlagen + Verkehr (ohne technische Bauwerke)</t>
  </si>
  <si>
    <t>Summe Freianlagen + Verkehr  netto inkl. NK und NL</t>
  </si>
  <si>
    <t xml:space="preserve">Summe Freianlagen + Verkehr brutto </t>
  </si>
  <si>
    <t xml:space="preserve">Berechnung entweder nach GP 2.a oder nach GP 2.b - keinesfalls beide </t>
  </si>
  <si>
    <t>Summe Teil Technische Ausrüstung - Medizintechnik ohne Nebenkosten</t>
  </si>
  <si>
    <t>Summe Teil Technische Ausrüstung -  Medizintechnik netto inkl. NK ohne NL</t>
  </si>
  <si>
    <t>Summe Teil Technische Ausrüstung -  Medizintechnik netto inkl. NK und NL</t>
  </si>
  <si>
    <t xml:space="preserve">Summe Teil Technische Ausrüstung -  Medizintechnik brutto </t>
  </si>
  <si>
    <t>Technische Ausrüstung - Medizintechnik</t>
  </si>
  <si>
    <t>3. 07.1</t>
  </si>
  <si>
    <t>Medizintechnik</t>
  </si>
  <si>
    <t>.07.1</t>
  </si>
  <si>
    <t>Detailaufgliederung der Einzelkapitel</t>
  </si>
  <si>
    <r>
      <t>%-Satz für GPa [h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 xml:space="preserve"> x (-0,0466 x LN(BMGL) + 1,213)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</si>
  <si>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%-Satz für GPb [h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 xml:space="preserve"> x (-0,0778 x LN(BMGL) + 2,022)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</si>
  <si>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b/>
        <sz val="11"/>
        <color indexed="56"/>
        <rFont val="Arial"/>
        <family val="2"/>
      </rPr>
      <t>&lt;</t>
    </r>
    <r>
      <rPr>
        <sz val="6.5"/>
        <color indexed="56"/>
        <rFont val="Arial"/>
        <family val="2"/>
      </rPr>
      <t xml:space="preserve">  </t>
    </r>
    <r>
      <rPr>
        <sz val="8"/>
        <color indexed="56"/>
        <rFont val="Arial"/>
        <family val="2"/>
      </rPr>
      <t xml:space="preserve">wenn KGR3 &gt; 50% von KGR2+KGR4 
     → Abminderung BMGL KGR3
     wenn KGR3 &lt; 50% von KGR2+KGR4 
     → KGR 3 fließt zu 100% in BMGL ein </t>
    </r>
  </si>
  <si>
    <t>Evaluierung Entwurf</t>
  </si>
  <si>
    <t>Baustellenkontrolle, Teilabnahmen</t>
  </si>
  <si>
    <t>Evaluierung AFP</t>
  </si>
  <si>
    <t>% Anteil an ERK</t>
  </si>
  <si>
    <t>% Anteil an BK</t>
  </si>
  <si>
    <t>Neubau</t>
  </si>
  <si>
    <r>
      <rPr>
        <b/>
        <sz val="11"/>
        <color indexed="8"/>
        <rFont val="Arial"/>
        <family val="2"/>
      </rPr>
      <t xml:space="preserve">Generalplaner Leitung 2.a
</t>
    </r>
    <r>
      <rPr>
        <sz val="11"/>
        <color indexed="8"/>
        <rFont val="Arial"/>
        <family val="2"/>
      </rPr>
      <t>nach VM.GP.2014</t>
    </r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</si>
  <si>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</si>
  <si>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r>
      <rPr>
        <b/>
        <sz val="11"/>
        <color indexed="8"/>
        <rFont val="Arial"/>
        <family val="2"/>
      </rPr>
      <t xml:space="preserve">Objektplanung Architektur
</t>
    </r>
    <r>
      <rPr>
        <sz val="11"/>
        <color indexed="8"/>
        <rFont val="Arial"/>
        <family val="2"/>
      </rPr>
      <t>nach VM.OA.2014</t>
    </r>
  </si>
  <si>
    <r>
      <rPr>
        <b/>
        <sz val="11"/>
        <color indexed="8"/>
        <rFont val="Arial"/>
        <family val="2"/>
      </rPr>
      <t>Einrichtung-Design</t>
    </r>
    <r>
      <rPr>
        <sz val="11"/>
        <color indexed="8"/>
        <rFont val="Arial"/>
        <family val="2"/>
      </rPr>
      <t xml:space="preserve">                             
nach VM.ED.2014</t>
    </r>
  </si>
  <si>
    <r>
      <t xml:space="preserve">Freianlagen + Verkehr (ohne technische Bauwerke)                              
</t>
    </r>
    <r>
      <rPr>
        <sz val="11"/>
        <color indexed="8"/>
        <rFont val="Arial"/>
        <family val="2"/>
      </rPr>
      <t>nach VM.FA.2014</t>
    </r>
  </si>
  <si>
    <r>
      <rPr>
        <b/>
        <sz val="11"/>
        <color indexed="8"/>
        <rFont val="Arial"/>
        <family val="2"/>
      </rPr>
      <t>Tragwerksplanung</t>
    </r>
    <r>
      <rPr>
        <sz val="11"/>
        <color indexed="8"/>
        <rFont val="Arial"/>
        <family val="2"/>
      </rPr>
      <t xml:space="preserve">                             
nach VM.TW.2014</t>
    </r>
  </si>
  <si>
    <r>
      <rPr>
        <b/>
        <sz val="11"/>
        <color indexed="8"/>
        <rFont val="Arial"/>
        <family val="2"/>
      </rPr>
      <t xml:space="preserve">Thermische Bauphysik </t>
    </r>
    <r>
      <rPr>
        <sz val="11"/>
        <color indexed="8"/>
        <rFont val="Arial"/>
        <family val="2"/>
      </rPr>
      <t xml:space="preserve">                            nach VM.BP.2014</t>
    </r>
  </si>
  <si>
    <r>
      <rPr>
        <b/>
        <sz val="11"/>
        <color indexed="8"/>
        <rFont val="Arial"/>
        <family val="2"/>
      </rPr>
      <t>Bauphysik Schallschutz</t>
    </r>
    <r>
      <rPr>
        <sz val="11"/>
        <color indexed="8"/>
        <rFont val="Arial"/>
        <family val="2"/>
      </rPr>
      <t xml:space="preserve">                            nach VM.BP.2014</t>
    </r>
  </si>
  <si>
    <r>
      <rPr>
        <b/>
        <sz val="11"/>
        <color indexed="8"/>
        <rFont val="Arial"/>
        <family val="2"/>
      </rPr>
      <t>Bauphysik Raumakustik</t>
    </r>
    <r>
      <rPr>
        <sz val="11"/>
        <color indexed="8"/>
        <rFont val="Arial"/>
        <family val="2"/>
      </rPr>
      <t xml:space="preserve">                            nachVM.BP.2014</t>
    </r>
  </si>
  <si>
    <t>Koordination TGA</t>
  </si>
  <si>
    <r>
      <rPr>
        <b/>
        <sz val="11"/>
        <color indexed="8"/>
        <rFont val="Arial"/>
        <family val="2"/>
      </rPr>
      <t>Technische Ausrüstung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Elektrotechnik</t>
    </r>
    <r>
      <rPr>
        <sz val="11"/>
        <color indexed="8"/>
        <rFont val="Arial"/>
        <family val="2"/>
      </rPr>
      <t xml:space="preserve">
nach VM.TA.2014</t>
    </r>
  </si>
  <si>
    <r>
      <rPr>
        <b/>
        <sz val="11"/>
        <color indexed="8"/>
        <rFont val="Arial"/>
        <family val="2"/>
      </rPr>
      <t>Technische Ausrüstung HKLS</t>
    </r>
    <r>
      <rPr>
        <sz val="11"/>
        <color indexed="8"/>
        <rFont val="Arial"/>
        <family val="2"/>
      </rPr>
      <t xml:space="preserve">                             
nach VM.TA.2014</t>
    </r>
  </si>
  <si>
    <r>
      <rPr>
        <b/>
        <sz val="11"/>
        <color indexed="8"/>
        <rFont val="Arial"/>
        <family val="2"/>
      </rPr>
      <t>Technische Ausrüstung Fördertechnik</t>
    </r>
    <r>
      <rPr>
        <sz val="11"/>
        <color indexed="8"/>
        <rFont val="Arial"/>
        <family val="2"/>
      </rPr>
      <t xml:space="preserve">                            
nach VM.TA.2014</t>
    </r>
  </si>
  <si>
    <r>
      <rPr>
        <sz val="9"/>
        <color indexed="8"/>
        <rFont val="Wingdings 3"/>
        <family val="1"/>
        <charset val="2"/>
      </rPr>
      <t>|</t>
    </r>
    <r>
      <rPr>
        <sz val="7.65"/>
        <color indexed="8"/>
        <rFont val="Arial"/>
        <family val="2"/>
      </rPr>
      <t xml:space="preserve"> ggf. durch ausführende Firma</t>
    </r>
  </si>
  <si>
    <r>
      <rPr>
        <b/>
        <sz val="11"/>
        <color indexed="8"/>
        <rFont val="Arial"/>
        <family val="2"/>
      </rPr>
      <t>Technische Ausrüstung Nutzungsspezifische Anlagen</t>
    </r>
    <r>
      <rPr>
        <sz val="11"/>
        <color indexed="8"/>
        <rFont val="Arial"/>
        <family val="2"/>
      </rPr>
      <t xml:space="preserve">                             
nach VM.TA.2014</t>
    </r>
  </si>
  <si>
    <r>
      <rPr>
        <b/>
        <sz val="11"/>
        <color indexed="8"/>
        <rFont val="Arial"/>
        <family val="2"/>
      </rPr>
      <t>Technische Ausrüstung Medizintechnik</t>
    </r>
    <r>
      <rPr>
        <sz val="11"/>
        <color indexed="8"/>
        <rFont val="Arial"/>
        <family val="2"/>
      </rPr>
      <t xml:space="preserve">                             
nach VM.TA.2014</t>
    </r>
  </si>
  <si>
    <r>
      <rPr>
        <b/>
        <sz val="11"/>
        <color indexed="8"/>
        <rFont val="Arial"/>
        <family val="2"/>
      </rPr>
      <t>Technische Ausrüstung MSR</t>
    </r>
    <r>
      <rPr>
        <sz val="11"/>
        <color indexed="8"/>
        <rFont val="Arial"/>
        <family val="2"/>
      </rPr>
      <t xml:space="preserve">                             
nach VM.TA.2014</t>
    </r>
  </si>
  <si>
    <t>|</t>
  </si>
  <si>
    <r>
      <rPr>
        <sz val="10"/>
        <color indexed="56"/>
        <rFont val="Wingdings 3"/>
        <family val="1"/>
        <charset val="2"/>
      </rPr>
      <t>|</t>
    </r>
    <r>
      <rPr>
        <sz val="8.5"/>
        <color indexed="56"/>
        <rFont val="Arial"/>
        <family val="2"/>
      </rPr>
      <t xml:space="preserve">  ggf. Anteile von Steuer</t>
    </r>
  </si>
  <si>
    <r>
      <rPr>
        <sz val="10"/>
        <color indexed="56"/>
        <rFont val="Wingdings 3"/>
        <family val="1"/>
        <charset val="2"/>
      </rPr>
      <t>|</t>
    </r>
    <r>
      <rPr>
        <sz val="8.5"/>
        <color indexed="56"/>
        <rFont val="Arial"/>
        <family val="2"/>
      </rPr>
      <t xml:space="preserve">  -matrix über alle Gewerke</t>
    </r>
  </si>
  <si>
    <r>
      <rPr>
        <b/>
        <sz val="11"/>
        <color indexed="8"/>
        <rFont val="Arial"/>
        <family val="2"/>
      </rPr>
      <t>Brandschutz</t>
    </r>
    <r>
      <rPr>
        <sz val="11"/>
        <color indexed="8"/>
        <rFont val="Arial"/>
        <family val="2"/>
      </rPr>
      <t xml:space="preserve">                             
nach AHO JUN-2015</t>
    </r>
  </si>
  <si>
    <t>LPH 1 Grundlagenanalyse (-ermittlung)</t>
  </si>
  <si>
    <t>LPH 2 Vorentwurfsplanung (Vorplanung)</t>
  </si>
  <si>
    <t>LPH 4 Einreichplanung (Genehmigungsplanung)</t>
  </si>
  <si>
    <t>LPH 6 Ausschreibung (Vorbreiten der Vergabe)</t>
  </si>
  <si>
    <t>LPH 8 Örtliche Bauaufsicht, Dokumentation (Objektüberwachung)</t>
  </si>
  <si>
    <t>LPH 7 Begleitung der Bauausführung (-)</t>
  </si>
  <si>
    <t>Industriebau mit Ebenen</t>
  </si>
  <si>
    <t>mehr als eine Nutzung, je zusätzliche Nutzung</t>
  </si>
  <si>
    <t>x</t>
  </si>
  <si>
    <t>Variantenauswertung, je zusätzliche Variante</t>
  </si>
  <si>
    <t>besondere Dokumentationsstandards</t>
  </si>
  <si>
    <t>besondere Einsatzbediengungen der Feuerwehr</t>
  </si>
  <si>
    <t>Einsatz von Datenplattformen</t>
  </si>
  <si>
    <t>mehrstufige Verfahren (z.B. Teilausbau)</t>
  </si>
  <si>
    <t>besondere Genehmigungsverfahren</t>
  </si>
  <si>
    <t>Anzahl</t>
  </si>
  <si>
    <r>
      <t>Summe Projekt-Schwierigkeitsbewert S</t>
    </r>
    <r>
      <rPr>
        <vertAlign val="subscript"/>
        <sz val="10"/>
        <color indexed="8"/>
        <rFont val="Arial"/>
        <family val="2"/>
      </rPr>
      <t>P</t>
    </r>
  </si>
  <si>
    <t>unterirdisches Geschoss</t>
  </si>
  <si>
    <t>offene Geschossverbindung</t>
  </si>
  <si>
    <t>Bestandsbau</t>
  </si>
  <si>
    <t>Nutzungswertsbeiwert n</t>
  </si>
  <si>
    <t>Technikflächen als Nutzungseinheit</t>
  </si>
  <si>
    <t>Wohnen</t>
  </si>
  <si>
    <t>Wohnen, Büro, Verwaltung</t>
  </si>
  <si>
    <t>Messe und Ausstellung, Sportstätten</t>
  </si>
  <si>
    <t>Verkauf</t>
  </si>
  <si>
    <t>Gaststätten, Beherbergungsbetriebe</t>
  </si>
  <si>
    <t>Kindergarten, Schule, Hochschule, pysikalsiche Labore</t>
  </si>
  <si>
    <t>Krankenhaus, Pflegeheim</t>
  </si>
  <si>
    <t>Abfertigungsgebäude von Verkehrsanlagen, Kraftwerke</t>
  </si>
  <si>
    <t>Beiwert</t>
  </si>
  <si>
    <r>
      <t>Teilflächen-Schwierigkeitsgrad S</t>
    </r>
    <r>
      <rPr>
        <b/>
        <vertAlign val="subscript"/>
        <sz val="10"/>
        <color indexed="8"/>
        <rFont val="Arial"/>
        <family val="2"/>
      </rPr>
      <t>T</t>
    </r>
  </si>
  <si>
    <r>
      <t>Projekt-Schwierigkeitsbeiwert S</t>
    </r>
    <r>
      <rPr>
        <b/>
        <vertAlign val="subscript"/>
        <sz val="10"/>
        <color indexed="8"/>
        <rFont val="Arial"/>
        <family val="2"/>
      </rPr>
      <t>P</t>
    </r>
  </si>
  <si>
    <t>Verkehrswege, d verschied Nutzungseinheiten erschließen</t>
  </si>
  <si>
    <t>Teilfläche 1</t>
  </si>
  <si>
    <t>Teilfläche 2</t>
  </si>
  <si>
    <t>Teilfläche 3</t>
  </si>
  <si>
    <t>Teilfläche 4</t>
  </si>
  <si>
    <t>Justizvollzuganstalt</t>
  </si>
  <si>
    <t>Garagen, erdgeschossiger Industriebau</t>
  </si>
  <si>
    <t>erweiterte Projektkennwerte</t>
  </si>
  <si>
    <t>Titel</t>
  </si>
  <si>
    <t>Versammlungsstätten, Diskotheken</t>
  </si>
  <si>
    <t>chemisch-biologische Labore, Funktionsbereiche im KH</t>
  </si>
  <si>
    <r>
      <t>Summe Teilflächen-Schwierigkeitsgrad S</t>
    </r>
    <r>
      <rPr>
        <vertAlign val="subscript"/>
        <sz val="10"/>
        <color indexed="8"/>
        <rFont val="Arial"/>
        <family val="2"/>
      </rPr>
      <t>T</t>
    </r>
  </si>
  <si>
    <t>Summe Nutzungsbeiwert n</t>
  </si>
  <si>
    <r>
      <t>S</t>
    </r>
    <r>
      <rPr>
        <vertAlign val="subscript"/>
        <sz val="7"/>
        <color indexed="8"/>
        <rFont val="Arial"/>
        <family val="2"/>
      </rPr>
      <t>T1</t>
    </r>
  </si>
  <si>
    <r>
      <t>S</t>
    </r>
    <r>
      <rPr>
        <vertAlign val="subscript"/>
        <sz val="7"/>
        <color indexed="8"/>
        <rFont val="Arial"/>
        <family val="2"/>
      </rPr>
      <t>T2</t>
    </r>
  </si>
  <si>
    <r>
      <t>S</t>
    </r>
    <r>
      <rPr>
        <vertAlign val="subscript"/>
        <sz val="7"/>
        <color indexed="8"/>
        <rFont val="Arial"/>
        <family val="2"/>
      </rPr>
      <t>T3</t>
    </r>
  </si>
  <si>
    <r>
      <t>S</t>
    </r>
    <r>
      <rPr>
        <vertAlign val="subscript"/>
        <sz val="7"/>
        <color indexed="8"/>
        <rFont val="Arial"/>
        <family val="2"/>
      </rPr>
      <t>T4</t>
    </r>
  </si>
  <si>
    <r>
      <t>S</t>
    </r>
    <r>
      <rPr>
        <vertAlign val="subscript"/>
        <sz val="7"/>
        <color indexed="8"/>
        <rFont val="Arial"/>
        <family val="2"/>
      </rPr>
      <t>1</t>
    </r>
  </si>
  <si>
    <r>
      <t>S</t>
    </r>
    <r>
      <rPr>
        <vertAlign val="subscript"/>
        <sz val="7"/>
        <color indexed="8"/>
        <rFont val="Arial"/>
        <family val="2"/>
      </rPr>
      <t>2</t>
    </r>
  </si>
  <si>
    <r>
      <t>S</t>
    </r>
    <r>
      <rPr>
        <vertAlign val="subscript"/>
        <sz val="7"/>
        <color indexed="8"/>
        <rFont val="Arial"/>
        <family val="2"/>
      </rPr>
      <t>3</t>
    </r>
  </si>
  <si>
    <r>
      <t>S</t>
    </r>
    <r>
      <rPr>
        <vertAlign val="subscript"/>
        <sz val="7"/>
        <color indexed="8"/>
        <rFont val="Arial"/>
        <family val="2"/>
      </rPr>
      <t>4</t>
    </r>
  </si>
  <si>
    <r>
      <t>n</t>
    </r>
    <r>
      <rPr>
        <vertAlign val="subscript"/>
        <sz val="9"/>
        <color indexed="8"/>
        <rFont val="Arial"/>
        <family val="2"/>
      </rPr>
      <t>1</t>
    </r>
  </si>
  <si>
    <r>
      <t>n</t>
    </r>
    <r>
      <rPr>
        <vertAlign val="subscript"/>
        <sz val="9"/>
        <color indexed="8"/>
        <rFont val="Arial"/>
        <family val="2"/>
      </rPr>
      <t>2</t>
    </r>
  </si>
  <si>
    <r>
      <t>n</t>
    </r>
    <r>
      <rPr>
        <vertAlign val="subscript"/>
        <sz val="9"/>
        <color indexed="8"/>
        <rFont val="Arial"/>
        <family val="2"/>
      </rPr>
      <t>3</t>
    </r>
  </si>
  <si>
    <r>
      <t>n</t>
    </r>
    <r>
      <rPr>
        <vertAlign val="subscript"/>
        <sz val="9"/>
        <color indexed="8"/>
        <rFont val="Arial"/>
        <family val="2"/>
      </rPr>
      <t>4</t>
    </r>
  </si>
  <si>
    <r>
      <t>S</t>
    </r>
    <r>
      <rPr>
        <vertAlign val="subscript"/>
        <sz val="7"/>
        <color indexed="8"/>
        <rFont val="Arial"/>
        <family val="2"/>
      </rPr>
      <t>P</t>
    </r>
  </si>
  <si>
    <r>
      <t>A</t>
    </r>
    <r>
      <rPr>
        <vertAlign val="subscript"/>
        <sz val="10"/>
        <color indexed="8"/>
        <rFont val="Arial"/>
        <family val="2"/>
      </rPr>
      <t xml:space="preserve">q gesamt </t>
    </r>
    <r>
      <rPr>
        <sz val="10"/>
        <color indexed="8"/>
        <rFont val="Arial"/>
        <family val="2"/>
      </rPr>
      <t>= A</t>
    </r>
    <r>
      <rPr>
        <vertAlign val="subscript"/>
        <sz val="10"/>
        <color indexed="8"/>
        <rFont val="Arial"/>
        <family val="2"/>
      </rPr>
      <t>q1</t>
    </r>
    <r>
      <rPr>
        <sz val="10"/>
        <color indexed="8"/>
        <rFont val="Arial"/>
        <family val="2"/>
      </rPr>
      <t xml:space="preserve"> + A</t>
    </r>
    <r>
      <rPr>
        <vertAlign val="subscript"/>
        <sz val="10"/>
        <color indexed="8"/>
        <rFont val="Arial"/>
        <family val="2"/>
      </rPr>
      <t>q2</t>
    </r>
    <r>
      <rPr>
        <sz val="10"/>
        <color indexed="8"/>
        <rFont val="Arial"/>
        <family val="2"/>
      </rPr>
      <t xml:space="preserve"> + A</t>
    </r>
    <r>
      <rPr>
        <vertAlign val="subscript"/>
        <sz val="10"/>
        <color indexed="8"/>
        <rFont val="Arial"/>
        <family val="2"/>
      </rPr>
      <t xml:space="preserve">q3 </t>
    </r>
    <r>
      <rPr>
        <sz val="10"/>
        <color indexed="8"/>
        <rFont val="Arial"/>
        <family val="2"/>
      </rPr>
      <t>+ A</t>
    </r>
    <r>
      <rPr>
        <vertAlign val="subscript"/>
        <sz val="10"/>
        <color indexed="8"/>
        <rFont val="Arial"/>
        <family val="2"/>
      </rPr>
      <t>q4</t>
    </r>
  </si>
  <si>
    <r>
      <t>A</t>
    </r>
    <r>
      <rPr>
        <vertAlign val="subscript"/>
        <sz val="10"/>
        <color indexed="8"/>
        <rFont val="Arial"/>
        <family val="2"/>
      </rPr>
      <t>q</t>
    </r>
    <r>
      <rPr>
        <sz val="10"/>
        <color indexed="8"/>
        <rFont val="Arial"/>
        <family val="2"/>
      </rPr>
      <t xml:space="preserve"> = BGF m²</t>
    </r>
  </si>
  <si>
    <r>
      <t>A</t>
    </r>
    <r>
      <rPr>
        <vertAlign val="subscript"/>
        <sz val="7"/>
        <color indexed="8"/>
        <rFont val="Arial"/>
        <family val="2"/>
      </rPr>
      <t>q1</t>
    </r>
  </si>
  <si>
    <r>
      <t>A</t>
    </r>
    <r>
      <rPr>
        <vertAlign val="subscript"/>
        <sz val="7"/>
        <color indexed="8"/>
        <rFont val="Arial"/>
        <family val="2"/>
      </rPr>
      <t>q2</t>
    </r>
  </si>
  <si>
    <r>
      <t>A</t>
    </r>
    <r>
      <rPr>
        <vertAlign val="subscript"/>
        <sz val="7"/>
        <color indexed="8"/>
        <rFont val="Arial"/>
        <family val="2"/>
      </rPr>
      <t>q3</t>
    </r>
  </si>
  <si>
    <r>
      <t>A</t>
    </r>
    <r>
      <rPr>
        <vertAlign val="subscript"/>
        <sz val="7"/>
        <color indexed="8"/>
        <rFont val="Arial"/>
        <family val="2"/>
      </rPr>
      <t>q4</t>
    </r>
  </si>
  <si>
    <r>
      <t>Gesamthonorar H = 2.300 + 130 x A</t>
    </r>
    <r>
      <rPr>
        <vertAlign val="subscript"/>
        <sz val="10"/>
        <rFont val="Arial"/>
        <family val="2"/>
      </rPr>
      <t>q gesamt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^0,61</t>
    </r>
  </si>
  <si>
    <r>
      <t>Honorar H = 2.300 + 130 x A</t>
    </r>
    <r>
      <rPr>
        <vertAlign val="subscript"/>
        <sz val="10"/>
        <rFont val="Arial"/>
        <family val="2"/>
      </rPr>
      <t>q gesamt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^0,61 </t>
    </r>
    <r>
      <rPr>
        <sz val="10"/>
        <rFont val="Arial"/>
        <family val="2"/>
      </rPr>
      <t>x f</t>
    </r>
    <r>
      <rPr>
        <vertAlign val="subscript"/>
        <sz val="10"/>
        <rFont val="Arial"/>
        <family val="2"/>
      </rPr>
      <t>LPH</t>
    </r>
  </si>
  <si>
    <t>Summe Brandschutz netto inkl. NK ohne NL</t>
  </si>
  <si>
    <t>Summe Brandschutz netto inkl. NK und NL</t>
  </si>
  <si>
    <t>Schule</t>
  </si>
  <si>
    <t>Technik</t>
  </si>
  <si>
    <t>Verwaltung</t>
  </si>
  <si>
    <t>Schule UG</t>
  </si>
  <si>
    <t>Denkmalschutz</t>
  </si>
  <si>
    <t>ungeregelter Sonderbau</t>
  </si>
  <si>
    <t>überproportionaler Installationsgrad</t>
  </si>
  <si>
    <t>experimentelle Bauweise</t>
  </si>
  <si>
    <r>
      <rPr>
        <sz val="7"/>
        <color indexed="56"/>
        <rFont val="Wingdings 3"/>
        <family val="1"/>
        <charset val="2"/>
      </rPr>
      <t>|</t>
    </r>
    <r>
      <rPr>
        <sz val="7"/>
        <color indexed="56"/>
        <rFont val="Arial"/>
        <family val="2"/>
      </rPr>
      <t xml:space="preserve"> bezogen auf Projekt</t>
    </r>
  </si>
  <si>
    <r>
      <rPr>
        <sz val="7"/>
        <color indexed="56"/>
        <rFont val="Wingdings 3"/>
        <family val="1"/>
        <charset val="2"/>
      </rPr>
      <t>|</t>
    </r>
    <r>
      <rPr>
        <sz val="7"/>
        <color indexed="56"/>
        <rFont val="Arial"/>
        <family val="2"/>
      </rPr>
      <t xml:space="preserve"> bezogen auf Teilfläche</t>
    </r>
  </si>
  <si>
    <r>
      <t>Schwierigkeitesbeiwert S</t>
    </r>
    <r>
      <rPr>
        <vertAlign val="subscript"/>
        <sz val="10"/>
        <color indexed="8"/>
        <rFont val="Arial"/>
        <family val="2"/>
      </rPr>
      <t>i</t>
    </r>
    <r>
      <rPr>
        <sz val="10"/>
        <color indexed="8"/>
        <rFont val="Arial"/>
        <family val="2"/>
      </rPr>
      <t xml:space="preserve"> = (1,0 x </t>
    </r>
    <r>
      <rPr>
        <sz val="10"/>
        <color indexed="8"/>
        <rFont val="Calibri"/>
        <family val="2"/>
      </rPr>
      <t>∑</t>
    </r>
    <r>
      <rPr>
        <sz val="8.5"/>
        <color indexed="8"/>
        <rFont val="Arial"/>
        <family val="2"/>
      </rPr>
      <t xml:space="preserve"> S</t>
    </r>
    <r>
      <rPr>
        <vertAlign val="subscript"/>
        <sz val="8.5"/>
        <color indexed="8"/>
        <rFont val="Arial"/>
        <family val="2"/>
      </rPr>
      <t>P</t>
    </r>
    <r>
      <rPr>
        <sz val="8.5"/>
        <color indexed="8"/>
        <rFont val="Arial"/>
        <family val="2"/>
      </rPr>
      <t xml:space="preserve">) + (1,0 + </t>
    </r>
    <r>
      <rPr>
        <sz val="8.5"/>
        <color indexed="8"/>
        <rFont val="Calibri"/>
        <family val="2"/>
      </rPr>
      <t>∑</t>
    </r>
    <r>
      <rPr>
        <sz val="7.25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S</t>
    </r>
    <r>
      <rPr>
        <vertAlign val="subscript"/>
        <sz val="10"/>
        <color indexed="8"/>
        <rFont val="Arial"/>
        <family val="2"/>
      </rPr>
      <t>T</t>
    </r>
    <r>
      <rPr>
        <sz val="7.25"/>
        <color indexed="8"/>
        <rFont val="Arial"/>
        <family val="2"/>
      </rPr>
      <t xml:space="preserve">) = </t>
    </r>
  </si>
  <si>
    <r>
      <t>Flächenäquivalent A</t>
    </r>
    <r>
      <rPr>
        <vertAlign val="subscript"/>
        <sz val="10"/>
        <rFont val="Arial"/>
        <family val="2"/>
      </rPr>
      <t>q</t>
    </r>
    <r>
      <rPr>
        <sz val="10"/>
        <rFont val="Arial"/>
        <family val="2"/>
      </rPr>
      <t xml:space="preserve"> = A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x n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x S</t>
    </r>
    <r>
      <rPr>
        <vertAlign val="subscript"/>
        <sz val="10"/>
        <rFont val="Arial"/>
        <family val="2"/>
      </rPr>
      <t>i</t>
    </r>
  </si>
  <si>
    <t>Musterprojekt PKL 3 - Aufgliederung der Gesamtkosten</t>
  </si>
  <si>
    <t>Umbau</t>
  </si>
  <si>
    <t>mitzuverarbeitende Bausubstanz</t>
  </si>
  <si>
    <t>1/2 von 2+4</t>
  </si>
  <si>
    <t>Delta zu 3</t>
  </si>
  <si>
    <t>1/2 des Deltas</t>
  </si>
  <si>
    <t>Generalplaner Management 2.b</t>
  </si>
  <si>
    <t>Summe LB.Generalpaner netto inkl. 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</si>
</sst>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* #,##0.00\ &quot;€&quot;_-;\-* #,##0.00\ &quot;€&quot;_-;_-* &quot;-&quot;??\ &quot;€&quot;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#"/>
    <numFmt numFmtId="168" formatCode="&quot;.&quot;0#"/>
    <numFmt numFmtId="169" formatCode="0.000%"/>
    <numFmt numFmtId="170" formatCode="#,##0&quot; öS&quot;"/>
    <numFmt numFmtId="171" formatCode="#,##0&quot; €&quot;"/>
    <numFmt numFmtId="172" formatCode="_-* #,##0.0000_-;\-* #,##0.0000_-;_-* &quot;-&quot;??_-;_-@_-"/>
    <numFmt numFmtId="173" formatCode="0.0%"/>
    <numFmt numFmtId="174" formatCode="#,##0\ &quot;m³&quot;"/>
    <numFmt numFmtId="175" formatCode="0.0"/>
    <numFmt numFmtId="176" formatCode="#,##0.0"/>
    <numFmt numFmtId="177" formatCode="#,##0\ &quot;h&quot;"/>
    <numFmt numFmtId="178" formatCode="#,##0.00\ &quot;€/h&quot;"/>
    <numFmt numFmtId="179" formatCode="&quot;m³&quot;"/>
    <numFmt numFmtId="180" formatCode="_-&quot;ATS&quot;\ * #,##0.00_-;\-&quot;ATS&quot;\ * #,##0.00_-;"/>
    <numFmt numFmtId="181" formatCode="#,##0.00_ ;\-#,##0.00\ ;"/>
    <numFmt numFmtId="182" formatCode="&quot;ATS&quot;* \ 0.000\ &quot;Mio.&quot;;;"/>
    <numFmt numFmtId="183" formatCode="0.000\ &quot;Mio.&quot;;;"/>
    <numFmt numFmtId="184" formatCode="_-&quot;€&quot;\ * #,##0_-;\-&quot;€&quot;\ * #,##0_-;_-&quot;€&quot;\ * &quot;-&quot;??_-;_-@_-"/>
    <numFmt numFmtId="185" formatCode="#,##0.00\ &quot;m²&quot;"/>
    <numFmt numFmtId="186" formatCode="#,##0\ &quot;€ / m³&quot;"/>
  </numFmts>
  <fonts count="10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</font>
    <font>
      <i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trike/>
      <sz val="10"/>
      <name val="Arial"/>
      <family val="2"/>
    </font>
    <font>
      <sz val="9"/>
      <color indexed="23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i/>
      <sz val="9"/>
      <color indexed="8"/>
      <name val="Arial"/>
      <family val="2"/>
    </font>
    <font>
      <vertAlign val="subscript"/>
      <sz val="10"/>
      <color indexed="23"/>
      <name val="Arial"/>
      <family val="2"/>
    </font>
    <font>
      <b/>
      <sz val="13"/>
      <name val="Calibri"/>
      <family val="2"/>
    </font>
    <font>
      <vertAlign val="subscript"/>
      <sz val="10"/>
      <color indexed="8"/>
      <name val="Arial"/>
      <family val="2"/>
    </font>
    <font>
      <i/>
      <sz val="8"/>
      <color indexed="8"/>
      <name val="Arial"/>
      <family val="2"/>
    </font>
    <font>
      <sz val="6.5"/>
      <color indexed="56"/>
      <name val="Arial"/>
      <family val="2"/>
    </font>
    <font>
      <b/>
      <sz val="11"/>
      <color indexed="56"/>
      <name val="Arial"/>
      <family val="2"/>
    </font>
    <font>
      <sz val="8"/>
      <color indexed="56"/>
      <name val="Arial"/>
      <family val="2"/>
    </font>
    <font>
      <sz val="11"/>
      <color indexed="8"/>
      <name val="Arial"/>
      <family val="2"/>
    </font>
    <font>
      <sz val="8"/>
      <color indexed="56"/>
      <name val="Wingdings 3"/>
      <family val="1"/>
      <charset val="2"/>
    </font>
    <font>
      <sz val="9"/>
      <color indexed="8"/>
      <name val="Wingdings 3"/>
      <family val="1"/>
      <charset val="2"/>
    </font>
    <font>
      <sz val="7.65"/>
      <color indexed="8"/>
      <name val="Arial"/>
      <family val="2"/>
    </font>
    <font>
      <sz val="10"/>
      <color indexed="56"/>
      <name val="Wingdings 3"/>
      <family val="1"/>
      <charset val="2"/>
    </font>
    <font>
      <sz val="8.5"/>
      <color indexed="56"/>
      <name val="Arial"/>
      <family val="2"/>
    </font>
    <font>
      <sz val="10"/>
      <color indexed="8"/>
      <name val="Calibri"/>
      <family val="2"/>
    </font>
    <font>
      <sz val="8.5"/>
      <color indexed="8"/>
      <name val="Arial"/>
      <family val="2"/>
    </font>
    <font>
      <sz val="8.5"/>
      <color indexed="8"/>
      <name val="Calibri"/>
      <family val="2"/>
    </font>
    <font>
      <sz val="7.25"/>
      <color indexed="8"/>
      <name val="Arial"/>
      <family val="2"/>
    </font>
    <font>
      <vertAlign val="subscript"/>
      <sz val="8.5"/>
      <color indexed="8"/>
      <name val="Arial"/>
      <family val="2"/>
    </font>
    <font>
      <b/>
      <vertAlign val="subscript"/>
      <sz val="10"/>
      <color indexed="8"/>
      <name val="Arial"/>
      <family val="2"/>
    </font>
    <font>
      <vertAlign val="subscript"/>
      <sz val="9"/>
      <color indexed="8"/>
      <name val="Arial"/>
      <family val="2"/>
    </font>
    <font>
      <vertAlign val="subscript"/>
      <sz val="7"/>
      <color indexed="8"/>
      <name val="Arial"/>
      <family val="2"/>
    </font>
    <font>
      <sz val="7"/>
      <color indexed="56"/>
      <name val="Arial"/>
      <family val="2"/>
    </font>
    <font>
      <sz val="7"/>
      <color indexed="56"/>
      <name val="Wingdings 3"/>
      <family val="1"/>
      <charset val="2"/>
    </font>
    <font>
      <sz val="7"/>
      <name val="Arial"/>
      <family val="2"/>
    </font>
    <font>
      <i/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 tint="-0.499984740745262"/>
      <name val="Arial"/>
      <family val="2"/>
    </font>
    <font>
      <sz val="9"/>
      <color theme="1" tint="0.499984740745262"/>
      <name val="Arial"/>
      <family val="2"/>
    </font>
    <font>
      <sz val="10"/>
      <color theme="0" tint="-0.249977111117893"/>
      <name val="Arial"/>
      <family val="2"/>
    </font>
    <font>
      <i/>
      <sz val="10"/>
      <color theme="0" tint="-0.34998626667073579"/>
      <name val="Arial"/>
      <family val="2"/>
    </font>
    <font>
      <i/>
      <sz val="10"/>
      <color theme="0" tint="-0.24994659260841701"/>
      <name val="Arial"/>
      <family val="2"/>
    </font>
    <font>
      <i/>
      <sz val="10"/>
      <color theme="0" tint="-0.249977111117893"/>
      <name val="Arial"/>
      <family val="2"/>
    </font>
    <font>
      <i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i/>
      <sz val="10"/>
      <color theme="4"/>
      <name val="Arial"/>
      <family val="2"/>
    </font>
    <font>
      <sz val="8"/>
      <color theme="3"/>
      <name val="Arial"/>
      <family val="2"/>
    </font>
    <font>
      <u/>
      <sz val="8"/>
      <color theme="3"/>
      <name val="Arial"/>
      <family val="2"/>
    </font>
    <font>
      <sz val="12"/>
      <color theme="0" tint="-0.499984740745262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sz val="10"/>
      <color theme="3"/>
      <name val="Wingdings 3"/>
      <family val="1"/>
      <charset val="2"/>
    </font>
    <font>
      <sz val="7"/>
      <color theme="3"/>
      <name val="Arial"/>
      <family val="2"/>
    </font>
    <font>
      <sz val="7"/>
      <color theme="0"/>
      <name val="Arial"/>
      <family val="2"/>
    </font>
    <font>
      <sz val="6.5"/>
      <color theme="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hair">
        <color theme="3"/>
      </bottom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hair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theme="0" tint="-0.499984740745262"/>
      </top>
      <bottom/>
      <diagonal/>
    </border>
  </borders>
  <cellStyleXfs count="50">
    <xf numFmtId="0" fontId="0" fillId="0" borderId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60" fillId="8" borderId="8" applyNumberFormat="0" applyAlignment="0" applyProtection="0"/>
    <xf numFmtId="0" fontId="61" fillId="8" borderId="9" applyNumberFormat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2" fillId="9" borderId="9" applyNumberFormat="0" applyAlignment="0" applyProtection="0"/>
    <xf numFmtId="0" fontId="63" fillId="0" borderId="10" applyNumberFormat="0" applyFill="0" applyAlignment="0" applyProtection="0"/>
    <xf numFmtId="0" fontId="6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3" fontId="5" fillId="10" borderId="1"/>
    <xf numFmtId="0" fontId="65" fillId="11" borderId="0" applyNumberFormat="0" applyBorder="0" applyAlignment="0" applyProtection="0"/>
    <xf numFmtId="180" fontId="2" fillId="0" borderId="0" applyFont="0" applyFill="0" applyBorder="0" applyAlignment="0" applyProtection="0"/>
    <xf numFmtId="181" fontId="2" fillId="0" borderId="2" applyFont="0" applyFill="0" applyBorder="0" applyAlignment="0" applyProtection="0"/>
    <xf numFmtId="166" fontId="5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3" applyFont="0" applyFill="0" applyBorder="0" applyAlignment="0" applyProtection="0"/>
    <xf numFmtId="0" fontId="66" fillId="12" borderId="0" applyNumberFormat="0" applyBorder="0" applyAlignment="0" applyProtection="0"/>
    <xf numFmtId="0" fontId="58" fillId="13" borderId="11" applyNumberFormat="0" applyFont="0" applyAlignment="0" applyProtection="0"/>
    <xf numFmtId="9" fontId="5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14" borderId="0" applyNumberFormat="0" applyBorder="0" applyAlignment="0" applyProtection="0"/>
    <xf numFmtId="0" fontId="58" fillId="0" borderId="0"/>
    <xf numFmtId="0" fontId="2" fillId="0" borderId="0"/>
    <xf numFmtId="0" fontId="4" fillId="0" borderId="0"/>
    <xf numFmtId="0" fontId="58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7" fillId="0" borderId="0"/>
    <xf numFmtId="0" fontId="68" fillId="0" borderId="0" applyNumberFormat="0" applyFill="0" applyBorder="0" applyAlignment="0" applyProtection="0"/>
    <xf numFmtId="0" fontId="69" fillId="0" borderId="12" applyNumberFormat="0" applyFill="0" applyAlignment="0" applyProtection="0"/>
    <xf numFmtId="0" fontId="70" fillId="0" borderId="13" applyNumberFormat="0" applyFill="0" applyAlignment="0" applyProtection="0"/>
    <xf numFmtId="0" fontId="71" fillId="0" borderId="14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15" applyNumberFormat="0" applyFill="0" applyAlignment="0" applyProtection="0"/>
    <xf numFmtId="0" fontId="73" fillId="0" borderId="0" applyNumberFormat="0" applyFill="0" applyBorder="0" applyAlignment="0" applyProtection="0"/>
    <xf numFmtId="0" fontId="74" fillId="15" borderId="16" applyNumberFormat="0" applyAlignment="0" applyProtection="0"/>
  </cellStyleXfs>
  <cellXfs count="874">
    <xf numFmtId="0" fontId="0" fillId="0" borderId="0" xfId="0"/>
    <xf numFmtId="0" fontId="5" fillId="0" borderId="0" xfId="41" applyFont="1" applyFill="1" applyBorder="1" applyProtection="1"/>
    <xf numFmtId="0" fontId="6" fillId="0" borderId="0" xfId="41" applyFont="1" applyFill="1" applyBorder="1" applyAlignment="1" applyProtection="1">
      <alignment vertical="center"/>
    </xf>
    <xf numFmtId="3" fontId="5" fillId="0" borderId="0" xfId="41" applyNumberFormat="1" applyFont="1" applyFill="1" applyBorder="1" applyAlignment="1" applyProtection="1">
      <alignment vertical="center"/>
    </xf>
    <xf numFmtId="1" fontId="5" fillId="0" borderId="0" xfId="41" applyNumberFormat="1" applyFont="1" applyFill="1" applyBorder="1" applyAlignment="1" applyProtection="1">
      <alignment horizontal="left"/>
    </xf>
    <xf numFmtId="167" fontId="5" fillId="0" borderId="0" xfId="41" applyNumberFormat="1" applyFont="1" applyFill="1" applyBorder="1" applyAlignment="1" applyProtection="1">
      <alignment horizontal="left"/>
    </xf>
    <xf numFmtId="168" fontId="5" fillId="0" borderId="0" xfId="41" applyNumberFormat="1" applyFont="1" applyFill="1" applyBorder="1" applyAlignment="1" applyProtection="1">
      <alignment horizontal="left"/>
    </xf>
    <xf numFmtId="0" fontId="6" fillId="0" borderId="0" xfId="41" applyFont="1" applyAlignment="1" applyProtection="1">
      <alignment horizontal="left"/>
    </xf>
    <xf numFmtId="0" fontId="5" fillId="0" borderId="0" xfId="41" applyFont="1" applyProtection="1"/>
    <xf numFmtId="10" fontId="5" fillId="0" borderId="0" xfId="41" applyNumberFormat="1" applyFont="1" applyAlignment="1" applyProtection="1">
      <alignment horizontal="right"/>
    </xf>
    <xf numFmtId="3" fontId="5" fillId="0" borderId="0" xfId="41" applyNumberFormat="1" applyFont="1" applyAlignment="1" applyProtection="1">
      <alignment horizontal="right"/>
    </xf>
    <xf numFmtId="0" fontId="13" fillId="0" borderId="0" xfId="41" applyFont="1" applyFill="1" applyBorder="1" applyAlignment="1" applyProtection="1">
      <alignment vertical="center"/>
    </xf>
    <xf numFmtId="0" fontId="14" fillId="0" borderId="0" xfId="41" applyFont="1" applyFill="1" applyBorder="1" applyAlignment="1" applyProtection="1">
      <alignment vertical="center"/>
    </xf>
    <xf numFmtId="0" fontId="6" fillId="0" borderId="0" xfId="41" applyFont="1" applyBorder="1" applyAlignment="1" applyProtection="1">
      <alignment horizontal="left"/>
    </xf>
    <xf numFmtId="0" fontId="5" fillId="0" borderId="0" xfId="41" applyFont="1" applyBorder="1" applyProtection="1"/>
    <xf numFmtId="3" fontId="5" fillId="0" borderId="0" xfId="41" applyNumberFormat="1" applyFont="1" applyBorder="1" applyAlignment="1" applyProtection="1">
      <alignment horizontal="right"/>
    </xf>
    <xf numFmtId="10" fontId="14" fillId="0" borderId="0" xfId="41" applyNumberFormat="1" applyFont="1" applyFill="1" applyBorder="1" applyAlignment="1" applyProtection="1">
      <alignment horizontal="center" vertical="center"/>
    </xf>
    <xf numFmtId="1" fontId="5" fillId="0" borderId="0" xfId="41" applyNumberFormat="1" applyFont="1" applyFill="1" applyBorder="1" applyAlignment="1" applyProtection="1">
      <alignment horizontal="center"/>
    </xf>
    <xf numFmtId="3" fontId="5" fillId="0" borderId="0" xfId="41" applyNumberFormat="1" applyFont="1" applyFill="1" applyBorder="1" applyAlignment="1" applyProtection="1">
      <alignment horizontal="right"/>
    </xf>
    <xf numFmtId="10" fontId="5" fillId="0" borderId="0" xfId="41" applyNumberFormat="1" applyFont="1" applyBorder="1" applyAlignment="1" applyProtection="1">
      <alignment horizontal="right"/>
    </xf>
    <xf numFmtId="0" fontId="15" fillId="0" borderId="0" xfId="41" applyFont="1" applyFill="1" applyBorder="1" applyProtection="1"/>
    <xf numFmtId="0" fontId="5" fillId="0" borderId="0" xfId="41" applyFont="1" applyFill="1" applyBorder="1" applyAlignment="1" applyProtection="1">
      <alignment vertical="top"/>
    </xf>
    <xf numFmtId="0" fontId="5" fillId="0" borderId="0" xfId="41" applyFont="1" applyAlignment="1" applyProtection="1">
      <alignment vertical="top"/>
    </xf>
    <xf numFmtId="0" fontId="6" fillId="0" borderId="0" xfId="41" applyFont="1" applyAlignment="1" applyProtection="1">
      <alignment vertical="top"/>
    </xf>
    <xf numFmtId="0" fontId="2" fillId="0" borderId="0" xfId="37" applyFont="1" applyFill="1" applyAlignment="1" applyProtection="1">
      <alignment vertical="center"/>
    </xf>
    <xf numFmtId="0" fontId="2" fillId="0" borderId="0" xfId="37" applyFont="1" applyBorder="1" applyAlignment="1" applyProtection="1">
      <alignment vertical="center"/>
    </xf>
    <xf numFmtId="0" fontId="2" fillId="0" borderId="4" xfId="37" applyFont="1" applyBorder="1" applyAlignment="1" applyProtection="1">
      <alignment vertical="center"/>
    </xf>
    <xf numFmtId="0" fontId="2" fillId="0" borderId="5" xfId="37" applyFont="1" applyBorder="1" applyAlignment="1" applyProtection="1">
      <alignment vertical="center"/>
    </xf>
    <xf numFmtId="0" fontId="2" fillId="0" borderId="0" xfId="37" applyFont="1" applyAlignment="1" applyProtection="1">
      <alignment vertical="center"/>
    </xf>
    <xf numFmtId="3" fontId="6" fillId="0" borderId="0" xfId="41" applyNumberFormat="1" applyFont="1" applyFill="1" applyBorder="1" applyAlignment="1" applyProtection="1">
      <alignment vertical="top" wrapText="1"/>
      <protection locked="0"/>
    </xf>
    <xf numFmtId="3" fontId="5" fillId="0" borderId="0" xfId="41" applyNumberFormat="1" applyFont="1" applyFill="1" applyBorder="1" applyAlignment="1" applyProtection="1"/>
    <xf numFmtId="0" fontId="0" fillId="0" borderId="0" xfId="0" applyFill="1"/>
    <xf numFmtId="0" fontId="2" fillId="0" borderId="0" xfId="37" applyFont="1" applyProtection="1"/>
    <xf numFmtId="0" fontId="2" fillId="0" borderId="0" xfId="37" applyFont="1" applyAlignment="1" applyProtection="1">
      <alignment horizontal="right"/>
    </xf>
    <xf numFmtId="169" fontId="2" fillId="0" borderId="0" xfId="37" applyNumberFormat="1" applyFont="1" applyProtection="1"/>
    <xf numFmtId="170" fontId="7" fillId="0" borderId="0" xfId="37" applyNumberFormat="1" applyFont="1" applyFill="1" applyBorder="1" applyProtection="1"/>
    <xf numFmtId="0" fontId="2" fillId="0" borderId="0" xfId="37" applyFont="1" applyFill="1" applyBorder="1" applyProtection="1"/>
    <xf numFmtId="0" fontId="2" fillId="0" borderId="0" xfId="37" applyFont="1" applyBorder="1" applyProtection="1"/>
    <xf numFmtId="10" fontId="2" fillId="0" borderId="0" xfId="37" applyNumberFormat="1" applyFont="1" applyFill="1" applyAlignment="1" applyProtection="1">
      <alignment horizontal="right"/>
    </xf>
    <xf numFmtId="0" fontId="2" fillId="0" borderId="0" xfId="37" applyFont="1" applyFill="1" applyBorder="1" applyAlignment="1" applyProtection="1"/>
    <xf numFmtId="0" fontId="2" fillId="0" borderId="0" xfId="37" applyFont="1" applyFill="1" applyBorder="1" applyAlignment="1" applyProtection="1">
      <alignment vertical="center"/>
    </xf>
    <xf numFmtId="171" fontId="9" fillId="0" borderId="0" xfId="37" applyNumberFormat="1" applyFont="1" applyFill="1" applyBorder="1" applyAlignment="1" applyProtection="1">
      <alignment vertical="center"/>
    </xf>
    <xf numFmtId="0" fontId="5" fillId="0" borderId="0" xfId="41" applyFont="1" applyFill="1" applyProtection="1"/>
    <xf numFmtId="0" fontId="0" fillId="0" borderId="0" xfId="0" applyBorder="1"/>
    <xf numFmtId="0" fontId="0" fillId="0" borderId="0" xfId="0" applyFill="1" applyBorder="1"/>
    <xf numFmtId="3" fontId="14" fillId="0" borderId="0" xfId="41" applyNumberFormat="1" applyFont="1" applyFill="1" applyBorder="1" applyAlignment="1" applyProtection="1">
      <alignment horizontal="center" vertical="center"/>
    </xf>
    <xf numFmtId="0" fontId="5" fillId="0" borderId="0" xfId="41" applyFont="1" applyFill="1" applyAlignment="1" applyProtection="1">
      <alignment vertical="top"/>
    </xf>
    <xf numFmtId="10" fontId="5" fillId="0" borderId="0" xfId="41" applyNumberFormat="1" applyFont="1" applyFill="1" applyBorder="1" applyProtection="1"/>
    <xf numFmtId="0" fontId="8" fillId="0" borderId="0" xfId="41" applyFont="1" applyFill="1" applyBorder="1" applyProtection="1"/>
    <xf numFmtId="3" fontId="9" fillId="0" borderId="0" xfId="41" applyNumberFormat="1" applyFont="1" applyFill="1" applyBorder="1" applyAlignment="1" applyProtection="1">
      <protection locked="0"/>
    </xf>
    <xf numFmtId="3" fontId="8" fillId="0" borderId="0" xfId="41" applyNumberFormat="1" applyFont="1" applyFill="1" applyBorder="1" applyAlignment="1" applyProtection="1"/>
    <xf numFmtId="0" fontId="5" fillId="0" borderId="4" xfId="41" applyFont="1" applyFill="1" applyBorder="1" applyProtection="1"/>
    <xf numFmtId="0" fontId="5" fillId="0" borderId="5" xfId="41" applyFont="1" applyFill="1" applyBorder="1" applyProtection="1"/>
    <xf numFmtId="10" fontId="5" fillId="0" borderId="0" xfId="41" applyNumberFormat="1" applyFont="1" applyFill="1" applyAlignment="1" applyProtection="1">
      <alignment horizontal="right"/>
    </xf>
    <xf numFmtId="0" fontId="5" fillId="0" borderId="0" xfId="41" applyFont="1" applyFill="1" applyBorder="1" applyAlignment="1" applyProtection="1">
      <alignment horizontal="left"/>
    </xf>
    <xf numFmtId="3" fontId="5" fillId="0" borderId="0" xfId="41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left"/>
    </xf>
    <xf numFmtId="10" fontId="5" fillId="0" borderId="0" xfId="41" applyNumberFormat="1" applyFont="1" applyFill="1" applyBorder="1" applyAlignment="1" applyProtection="1">
      <alignment horizontal="right"/>
    </xf>
    <xf numFmtId="0" fontId="3" fillId="0" borderId="0" xfId="12" applyFont="1" applyFill="1" applyBorder="1" applyAlignment="1">
      <alignment horizontal="center" vertical="center"/>
    </xf>
    <xf numFmtId="3" fontId="5" fillId="0" borderId="0" xfId="41" applyNumberFormat="1" applyFont="1" applyFill="1" applyAlignment="1" applyProtection="1">
      <alignment horizontal="right"/>
    </xf>
    <xf numFmtId="0" fontId="6" fillId="0" borderId="4" xfId="41" applyFont="1" applyBorder="1" applyAlignment="1" applyProtection="1">
      <alignment horizontal="left"/>
    </xf>
    <xf numFmtId="0" fontId="6" fillId="0" borderId="5" xfId="41" applyFont="1" applyBorder="1" applyAlignment="1" applyProtection="1">
      <alignment horizontal="left"/>
    </xf>
    <xf numFmtId="10" fontId="16" fillId="0" borderId="0" xfId="41" applyNumberFormat="1" applyFont="1" applyFill="1" applyBorder="1" applyAlignment="1" applyProtection="1">
      <alignment horizontal="left" wrapText="1"/>
    </xf>
    <xf numFmtId="3" fontId="8" fillId="0" borderId="0" xfId="41" applyNumberFormat="1" applyFont="1" applyFill="1" applyBorder="1" applyAlignment="1" applyProtection="1">
      <alignment horizontal="right"/>
    </xf>
    <xf numFmtId="3" fontId="15" fillId="0" borderId="0" xfId="41" applyNumberFormat="1" applyFont="1" applyFill="1" applyBorder="1" applyAlignment="1" applyProtection="1">
      <alignment horizontal="right"/>
    </xf>
    <xf numFmtId="171" fontId="2" fillId="0" borderId="0" xfId="37" applyNumberFormat="1" applyFont="1" applyProtection="1"/>
    <xf numFmtId="171" fontId="7" fillId="0" borderId="0" xfId="37" applyNumberFormat="1" applyFont="1" applyFill="1" applyProtection="1"/>
    <xf numFmtId="9" fontId="2" fillId="0" borderId="0" xfId="37" applyNumberFormat="1" applyFont="1" applyAlignment="1" applyProtection="1">
      <alignment horizontal="center"/>
    </xf>
    <xf numFmtId="169" fontId="2" fillId="0" borderId="0" xfId="37" applyNumberFormat="1" applyFont="1" applyAlignment="1" applyProtection="1">
      <alignment horizontal="left"/>
    </xf>
    <xf numFmtId="0" fontId="2" fillId="0" borderId="6" xfId="37" applyFont="1" applyBorder="1" applyProtection="1"/>
    <xf numFmtId="0" fontId="2" fillId="0" borderId="6" xfId="37" applyFont="1" applyBorder="1" applyAlignment="1" applyProtection="1">
      <alignment horizontal="right"/>
    </xf>
    <xf numFmtId="169" fontId="2" fillId="0" borderId="6" xfId="37" applyNumberFormat="1" applyFont="1" applyBorder="1" applyProtection="1"/>
    <xf numFmtId="170" fontId="7" fillId="0" borderId="0" xfId="37" applyNumberFormat="1" applyFont="1" applyFill="1" applyProtection="1"/>
    <xf numFmtId="0" fontId="1" fillId="0" borderId="0" xfId="37" applyFont="1" applyFill="1" applyProtection="1"/>
    <xf numFmtId="0" fontId="1" fillId="0" borderId="0" xfId="37" applyFont="1" applyFill="1" applyAlignment="1" applyProtection="1">
      <alignment horizontal="right"/>
    </xf>
    <xf numFmtId="169" fontId="1" fillId="0" borderId="0" xfId="37" applyNumberFormat="1" applyFont="1" applyFill="1" applyProtection="1"/>
    <xf numFmtId="171" fontId="7" fillId="0" borderId="0" xfId="37" applyNumberFormat="1" applyFont="1" applyFill="1" applyBorder="1" applyProtection="1"/>
    <xf numFmtId="170" fontId="7" fillId="0" borderId="6" xfId="37" applyNumberFormat="1" applyFont="1" applyFill="1" applyBorder="1" applyProtection="1"/>
    <xf numFmtId="169" fontId="2" fillId="0" borderId="0" xfId="37" applyNumberFormat="1" applyFont="1" applyBorder="1" applyProtection="1"/>
    <xf numFmtId="170" fontId="7" fillId="0" borderId="2" xfId="37" applyNumberFormat="1" applyFont="1" applyFill="1" applyBorder="1" applyProtection="1"/>
    <xf numFmtId="0" fontId="2" fillId="0" borderId="2" xfId="37" applyFont="1" applyBorder="1" applyProtection="1"/>
    <xf numFmtId="0" fontId="10" fillId="0" borderId="0" xfId="37" applyFont="1" applyFill="1" applyBorder="1" applyProtection="1"/>
    <xf numFmtId="0" fontId="10" fillId="0" borderId="0" xfId="37" applyFont="1" applyFill="1" applyBorder="1" applyAlignment="1" applyProtection="1">
      <alignment horizontal="right"/>
    </xf>
    <xf numFmtId="169" fontId="10" fillId="0" borderId="0" xfId="37" applyNumberFormat="1" applyFont="1" applyFill="1" applyBorder="1" applyProtection="1"/>
    <xf numFmtId="0" fontId="2" fillId="0" borderId="0" xfId="37" applyFont="1" applyFill="1" applyBorder="1" applyAlignment="1" applyProtection="1">
      <alignment horizontal="right"/>
    </xf>
    <xf numFmtId="169" fontId="2" fillId="0" borderId="0" xfId="37" applyNumberFormat="1" applyFont="1" applyFill="1" applyBorder="1" applyProtection="1"/>
    <xf numFmtId="169" fontId="2" fillId="0" borderId="0" xfId="37" applyNumberFormat="1" applyFont="1" applyFill="1" applyBorder="1" applyAlignment="1" applyProtection="1">
      <alignment horizontal="left"/>
    </xf>
    <xf numFmtId="0" fontId="1" fillId="0" borderId="0" xfId="37" applyFont="1" applyFill="1" applyBorder="1" applyProtection="1"/>
    <xf numFmtId="0" fontId="1" fillId="0" borderId="0" xfId="37" applyFont="1" applyFill="1" applyBorder="1" applyAlignment="1" applyProtection="1">
      <alignment horizontal="right"/>
    </xf>
    <xf numFmtId="169" fontId="1" fillId="0" borderId="0" xfId="37" applyNumberFormat="1" applyFont="1" applyFill="1" applyBorder="1" applyProtection="1"/>
    <xf numFmtId="10" fontId="2" fillId="0" borderId="0" xfId="37" applyNumberFormat="1" applyFont="1" applyFill="1" applyBorder="1" applyAlignment="1" applyProtection="1">
      <alignment horizontal="right"/>
    </xf>
    <xf numFmtId="0" fontId="18" fillId="16" borderId="0" xfId="41" applyFont="1" applyFill="1" applyBorder="1" applyProtection="1"/>
    <xf numFmtId="0" fontId="18" fillId="0" borderId="0" xfId="41" applyFont="1" applyFill="1" applyBorder="1" applyProtection="1"/>
    <xf numFmtId="9" fontId="2" fillId="0" borderId="0" xfId="37" applyNumberFormat="1" applyFont="1" applyFill="1" applyAlignment="1" applyProtection="1">
      <alignment horizontal="center"/>
    </xf>
    <xf numFmtId="9" fontId="2" fillId="0" borderId="0" xfId="37" applyNumberFormat="1" applyFont="1" applyFill="1" applyBorder="1" applyAlignment="1" applyProtection="1">
      <alignment horizontal="center"/>
    </xf>
    <xf numFmtId="9" fontId="2" fillId="0" borderId="6" xfId="37" applyNumberFormat="1" applyFont="1" applyFill="1" applyBorder="1" applyAlignment="1" applyProtection="1">
      <alignment horizontal="center"/>
    </xf>
    <xf numFmtId="9" fontId="2" fillId="0" borderId="2" xfId="37" applyNumberFormat="1" applyFont="1" applyFill="1" applyBorder="1" applyAlignment="1" applyProtection="1">
      <alignment horizontal="center"/>
    </xf>
    <xf numFmtId="0" fontId="1" fillId="16" borderId="0" xfId="41" applyFont="1" applyFill="1" applyAlignment="1" applyProtection="1">
      <alignment horizontal="left"/>
    </xf>
    <xf numFmtId="3" fontId="13" fillId="0" borderId="0" xfId="41" applyNumberFormat="1" applyFont="1" applyFill="1" applyBorder="1" applyAlignment="1" applyProtection="1">
      <alignment vertical="center"/>
    </xf>
    <xf numFmtId="9" fontId="5" fillId="0" borderId="0" xfId="41" applyNumberFormat="1" applyFont="1" applyFill="1" applyBorder="1" applyAlignment="1" applyProtection="1">
      <alignment horizontal="right"/>
    </xf>
    <xf numFmtId="10" fontId="14" fillId="0" borderId="0" xfId="41" applyNumberFormat="1" applyFont="1" applyFill="1" applyBorder="1" applyAlignment="1" applyProtection="1">
      <alignment horizontal="right" vertical="center"/>
    </xf>
    <xf numFmtId="9" fontId="5" fillId="0" borderId="0" xfId="41" applyNumberFormat="1" applyFont="1" applyFill="1" applyBorder="1" applyAlignment="1" applyProtection="1">
      <alignment horizontal="right" vertical="center"/>
    </xf>
    <xf numFmtId="9" fontId="1" fillId="16" borderId="0" xfId="41" applyNumberFormat="1" applyFont="1" applyFill="1" applyBorder="1" applyProtection="1"/>
    <xf numFmtId="0" fontId="5" fillId="0" borderId="0" xfId="41" applyFont="1" applyBorder="1" applyAlignment="1" applyProtection="1">
      <alignment horizontal="left"/>
    </xf>
    <xf numFmtId="0" fontId="6" fillId="0" borderId="17" xfId="41" applyFont="1" applyFill="1" applyBorder="1" applyAlignment="1" applyProtection="1">
      <alignment vertical="center"/>
    </xf>
    <xf numFmtId="0" fontId="13" fillId="0" borderId="4" xfId="41" applyFont="1" applyFill="1" applyBorder="1" applyAlignment="1" applyProtection="1">
      <alignment vertical="center"/>
    </xf>
    <xf numFmtId="167" fontId="9" fillId="16" borderId="17" xfId="41" applyNumberFormat="1" applyFont="1" applyFill="1" applyBorder="1" applyAlignment="1" applyProtection="1">
      <alignment horizontal="left" vertical="center"/>
    </xf>
    <xf numFmtId="0" fontId="9" fillId="16" borderId="17" xfId="41" applyFont="1" applyFill="1" applyBorder="1" applyAlignment="1" applyProtection="1">
      <alignment vertical="center"/>
    </xf>
    <xf numFmtId="9" fontId="5" fillId="0" borderId="17" xfId="41" applyNumberFormat="1" applyFont="1" applyFill="1" applyBorder="1" applyAlignment="1" applyProtection="1">
      <alignment horizontal="right" vertical="center"/>
    </xf>
    <xf numFmtId="167" fontId="5" fillId="0" borderId="18" xfId="41" applyNumberFormat="1" applyFont="1" applyFill="1" applyBorder="1" applyAlignment="1" applyProtection="1">
      <alignment horizontal="left"/>
    </xf>
    <xf numFmtId="0" fontId="5" fillId="0" borderId="18" xfId="41" applyFont="1" applyFill="1" applyBorder="1" applyAlignment="1" applyProtection="1"/>
    <xf numFmtId="167" fontId="5" fillId="0" borderId="19" xfId="41" applyNumberFormat="1" applyFont="1" applyFill="1" applyBorder="1" applyAlignment="1" applyProtection="1">
      <alignment horizontal="left"/>
    </xf>
    <xf numFmtId="0" fontId="5" fillId="0" borderId="19" xfId="41" applyFont="1" applyFill="1" applyBorder="1" applyAlignment="1" applyProtection="1"/>
    <xf numFmtId="168" fontId="5" fillId="0" borderId="18" xfId="41" applyNumberFormat="1" applyFont="1" applyFill="1" applyBorder="1" applyAlignment="1" applyProtection="1">
      <alignment horizontal="left"/>
    </xf>
    <xf numFmtId="0" fontId="5" fillId="0" borderId="18" xfId="41" applyFont="1" applyFill="1" applyBorder="1" applyProtection="1"/>
    <xf numFmtId="0" fontId="5" fillId="0" borderId="19" xfId="41" applyFont="1" applyBorder="1" applyAlignment="1" applyProtection="1">
      <alignment horizontal="left"/>
    </xf>
    <xf numFmtId="0" fontId="5" fillId="0" borderId="19" xfId="41" applyFont="1" applyBorder="1" applyProtection="1"/>
    <xf numFmtId="3" fontId="14" fillId="0" borderId="0" xfId="41" applyNumberFormat="1" applyFont="1" applyFill="1" applyBorder="1" applyAlignment="1" applyProtection="1">
      <alignment horizontal="right" vertical="center"/>
    </xf>
    <xf numFmtId="164" fontId="1" fillId="16" borderId="0" xfId="41" applyNumberFormat="1" applyFont="1" applyFill="1" applyBorder="1" applyAlignment="1" applyProtection="1">
      <alignment horizontal="right"/>
    </xf>
    <xf numFmtId="164" fontId="2" fillId="0" borderId="0" xfId="37" applyNumberFormat="1" applyFont="1" applyProtection="1"/>
    <xf numFmtId="164" fontId="1" fillId="0" borderId="0" xfId="37" applyNumberFormat="1" applyFont="1" applyBorder="1" applyProtection="1"/>
    <xf numFmtId="164" fontId="2" fillId="0" borderId="6" xfId="37" applyNumberFormat="1" applyFont="1" applyBorder="1" applyProtection="1"/>
    <xf numFmtId="164" fontId="1" fillId="0" borderId="0" xfId="37" applyNumberFormat="1" applyFont="1" applyFill="1" applyProtection="1"/>
    <xf numFmtId="164" fontId="1" fillId="0" borderId="0" xfId="37" applyNumberFormat="1" applyFont="1" applyProtection="1"/>
    <xf numFmtId="164" fontId="2" fillId="0" borderId="0" xfId="37" applyNumberFormat="1" applyFont="1" applyBorder="1" applyProtection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71" fontId="19" fillId="16" borderId="0" xfId="37" applyNumberFormat="1" applyFont="1" applyFill="1" applyProtection="1"/>
    <xf numFmtId="164" fontId="1" fillId="16" borderId="0" xfId="37" applyNumberFormat="1" applyFont="1" applyFill="1" applyProtection="1"/>
    <xf numFmtId="4" fontId="2" fillId="16" borderId="0" xfId="37" applyNumberFormat="1" applyFont="1" applyFill="1" applyAlignment="1" applyProtection="1">
      <alignment vertical="center"/>
    </xf>
    <xf numFmtId="4" fontId="2" fillId="0" borderId="0" xfId="37" applyNumberFormat="1" applyFont="1" applyFill="1" applyAlignment="1" applyProtection="1">
      <alignment vertical="center"/>
    </xf>
    <xf numFmtId="3" fontId="2" fillId="16" borderId="0" xfId="37" applyNumberFormat="1" applyFont="1" applyFill="1" applyAlignment="1" applyProtection="1">
      <alignment vertical="center"/>
    </xf>
    <xf numFmtId="0" fontId="0" fillId="0" borderId="0" xfId="0" applyNumberFormat="1" applyBorder="1"/>
    <xf numFmtId="9" fontId="5" fillId="17" borderId="20" xfId="41" applyNumberFormat="1" applyFont="1" applyFill="1" applyBorder="1" applyAlignment="1" applyProtection="1">
      <alignment horizontal="right"/>
      <protection locked="0"/>
    </xf>
    <xf numFmtId="9" fontId="5" fillId="17" borderId="21" xfId="41" applyNumberFormat="1" applyFont="1" applyFill="1" applyBorder="1" applyAlignment="1" applyProtection="1">
      <alignment horizontal="right"/>
      <protection locked="0"/>
    </xf>
    <xf numFmtId="0" fontId="9" fillId="0" borderId="0" xfId="41" applyFont="1" applyBorder="1" applyAlignment="1" applyProtection="1">
      <alignment horizontal="left"/>
    </xf>
    <xf numFmtId="0" fontId="5" fillId="0" borderId="0" xfId="41" applyFont="1" applyFill="1" applyBorder="1" applyAlignment="1" applyProtection="1">
      <alignment horizontal="right"/>
    </xf>
    <xf numFmtId="9" fontId="5" fillId="0" borderId="0" xfId="41" applyNumberFormat="1" applyFont="1" applyProtection="1"/>
    <xf numFmtId="9" fontId="2" fillId="16" borderId="0" xfId="37" applyNumberFormat="1" applyFont="1" applyFill="1" applyProtection="1"/>
    <xf numFmtId="0" fontId="5" fillId="0" borderId="0" xfId="41" applyFont="1" applyFill="1" applyBorder="1" applyAlignment="1" applyProtection="1">
      <alignment vertical="center"/>
    </xf>
    <xf numFmtId="49" fontId="2" fillId="0" borderId="0" xfId="37" applyNumberFormat="1" applyFont="1" applyBorder="1" applyAlignment="1" applyProtection="1">
      <alignment vertical="center"/>
    </xf>
    <xf numFmtId="0" fontId="15" fillId="0" borderId="0" xfId="41" applyFont="1" applyFill="1" applyBorder="1" applyAlignment="1" applyProtection="1">
      <alignment vertical="center"/>
    </xf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164" fontId="1" fillId="16" borderId="0" xfId="41" applyNumberFormat="1" applyFont="1" applyFill="1" applyBorder="1" applyAlignment="1" applyProtection="1">
      <alignment horizontal="right" vertical="center"/>
    </xf>
    <xf numFmtId="3" fontId="15" fillId="0" borderId="0" xfId="41" applyNumberFormat="1" applyFont="1" applyFill="1" applyBorder="1" applyAlignment="1" applyProtection="1">
      <alignment horizontal="right" vertical="center"/>
    </xf>
    <xf numFmtId="9" fontId="1" fillId="16" borderId="0" xfId="41" applyNumberFormat="1" applyFont="1" applyFill="1" applyBorder="1" applyAlignment="1" applyProtection="1">
      <alignment vertical="center"/>
    </xf>
    <xf numFmtId="0" fontId="18" fillId="0" borderId="0" xfId="4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" fontId="3" fillId="17" borderId="4" xfId="12" applyNumberFormat="1" applyFont="1" applyFill="1" applyBorder="1" applyAlignment="1" applyProtection="1">
      <alignment horizontal="center" vertical="center"/>
      <protection locked="0"/>
    </xf>
    <xf numFmtId="1" fontId="3" fillId="17" borderId="5" xfId="12" applyNumberFormat="1" applyFont="1" applyFill="1" applyBorder="1" applyAlignment="1" applyProtection="1">
      <alignment horizontal="center" vertical="center"/>
      <protection locked="0"/>
    </xf>
    <xf numFmtId="0" fontId="75" fillId="0" borderId="0" xfId="37" applyFont="1" applyFill="1" applyBorder="1" applyAlignment="1" applyProtection="1">
      <alignment vertical="center"/>
    </xf>
    <xf numFmtId="174" fontId="2" fillId="17" borderId="0" xfId="37" applyNumberFormat="1" applyFont="1" applyFill="1" applyAlignment="1" applyProtection="1">
      <alignment vertical="center"/>
      <protection locked="0"/>
    </xf>
    <xf numFmtId="0" fontId="76" fillId="0" borderId="0" xfId="41" applyFont="1" applyFill="1" applyProtection="1"/>
    <xf numFmtId="10" fontId="16" fillId="0" borderId="0" xfId="41" applyNumberFormat="1" applyFont="1" applyBorder="1" applyAlignment="1" applyProtection="1">
      <alignment horizontal="left" wrapText="1"/>
    </xf>
    <xf numFmtId="0" fontId="22" fillId="0" borderId="0" xfId="41" applyFont="1" applyFill="1" applyBorder="1" applyAlignment="1" applyProtection="1">
      <alignment vertical="center"/>
    </xf>
    <xf numFmtId="164" fontId="8" fillId="0" borderId="0" xfId="41" applyNumberFormat="1" applyFont="1" applyFill="1" applyBorder="1" applyAlignment="1" applyProtection="1"/>
    <xf numFmtId="0" fontId="2" fillId="0" borderId="0" xfId="37" applyFont="1" applyFill="1" applyProtection="1"/>
    <xf numFmtId="173" fontId="5" fillId="0" borderId="17" xfId="41" applyNumberFormat="1" applyFont="1" applyFill="1" applyBorder="1" applyAlignment="1" applyProtection="1">
      <alignment horizontal="right" vertical="center"/>
    </xf>
    <xf numFmtId="173" fontId="5" fillId="0" borderId="0" xfId="41" applyNumberFormat="1" applyFont="1" applyFill="1" applyBorder="1" applyAlignment="1" applyProtection="1">
      <alignment horizontal="right"/>
    </xf>
    <xf numFmtId="173" fontId="5" fillId="0" borderId="18" xfId="41" applyNumberFormat="1" applyFont="1" applyFill="1" applyBorder="1" applyAlignment="1" applyProtection="1">
      <alignment horizontal="right"/>
    </xf>
    <xf numFmtId="173" fontId="5" fillId="0" borderId="19" xfId="41" applyNumberFormat="1" applyFont="1" applyFill="1" applyBorder="1" applyAlignment="1" applyProtection="1">
      <alignment horizontal="right"/>
    </xf>
    <xf numFmtId="173" fontId="5" fillId="0" borderId="0" xfId="41" applyNumberFormat="1" applyFont="1" applyFill="1" applyBorder="1" applyAlignment="1" applyProtection="1">
      <alignment horizontal="right" vertical="center"/>
    </xf>
    <xf numFmtId="10" fontId="16" fillId="0" borderId="0" xfId="41" applyNumberFormat="1" applyFont="1" applyFill="1" applyBorder="1" applyAlignment="1" applyProtection="1">
      <alignment horizontal="right" vertical="center"/>
    </xf>
    <xf numFmtId="3" fontId="16" fillId="0" borderId="0" xfId="41" applyNumberFormat="1" applyFont="1" applyFill="1" applyBorder="1" applyAlignment="1" applyProtection="1">
      <alignment horizontal="center" vertical="center"/>
    </xf>
    <xf numFmtId="164" fontId="1" fillId="16" borderId="0" xfId="37" applyNumberFormat="1" applyFont="1" applyFill="1" applyAlignment="1" applyProtection="1">
      <alignment horizontal="right"/>
    </xf>
    <xf numFmtId="164" fontId="2" fillId="0" borderId="0" xfId="37" applyNumberFormat="1" applyFont="1" applyAlignment="1" applyProtection="1">
      <alignment horizontal="right"/>
    </xf>
    <xf numFmtId="164" fontId="1" fillId="0" borderId="0" xfId="37" applyNumberFormat="1" applyFont="1" applyBorder="1" applyAlignment="1" applyProtection="1">
      <alignment horizontal="right"/>
    </xf>
    <xf numFmtId="164" fontId="2" fillId="0" borderId="6" xfId="37" applyNumberFormat="1" applyFont="1" applyBorder="1" applyAlignment="1" applyProtection="1">
      <alignment horizontal="right"/>
    </xf>
    <xf numFmtId="164" fontId="1" fillId="0" borderId="0" xfId="37" applyNumberFormat="1" applyFont="1" applyFill="1" applyAlignment="1" applyProtection="1">
      <alignment horizontal="right"/>
    </xf>
    <xf numFmtId="164" fontId="1" fillId="0" borderId="0" xfId="37" applyNumberFormat="1" applyFont="1" applyAlignment="1" applyProtection="1">
      <alignment horizontal="right"/>
    </xf>
    <xf numFmtId="164" fontId="2" fillId="0" borderId="0" xfId="37" applyNumberFormat="1" applyFont="1" applyBorder="1" applyAlignment="1" applyProtection="1">
      <alignment horizontal="right"/>
    </xf>
    <xf numFmtId="164" fontId="8" fillId="0" borderId="0" xfId="41" applyNumberFormat="1" applyFont="1" applyBorder="1" applyAlignment="1" applyProtection="1">
      <alignment horizontal="right"/>
    </xf>
    <xf numFmtId="164" fontId="8" fillId="0" borderId="0" xfId="41" applyNumberFormat="1" applyFont="1" applyBorder="1" applyAlignment="1" applyProtection="1"/>
    <xf numFmtId="164" fontId="8" fillId="10" borderId="21" xfId="41" applyNumberFormat="1" applyFont="1" applyFill="1" applyBorder="1" applyAlignment="1" applyProtection="1"/>
    <xf numFmtId="164" fontId="8" fillId="10" borderId="22" xfId="41" applyNumberFormat="1" applyFont="1" applyFill="1" applyBorder="1" applyAlignment="1" applyProtection="1"/>
    <xf numFmtId="164" fontId="8" fillId="10" borderId="23" xfId="41" applyNumberFormat="1" applyFont="1" applyFill="1" applyBorder="1" applyAlignment="1" applyProtection="1"/>
    <xf numFmtId="164" fontId="8" fillId="16" borderId="17" xfId="41" applyNumberFormat="1" applyFont="1" applyFill="1" applyBorder="1" applyAlignment="1" applyProtection="1"/>
    <xf numFmtId="164" fontId="8" fillId="16" borderId="20" xfId="41" applyNumberFormat="1" applyFont="1" applyFill="1" applyBorder="1" applyAlignment="1" applyProtection="1"/>
    <xf numFmtId="164" fontId="8" fillId="17" borderId="20" xfId="41" applyNumberFormat="1" applyFont="1" applyFill="1" applyBorder="1" applyAlignment="1" applyProtection="1">
      <alignment vertical="center"/>
      <protection locked="0"/>
    </xf>
    <xf numFmtId="164" fontId="8" fillId="0" borderId="21" xfId="41" applyNumberFormat="1" applyFont="1" applyFill="1" applyBorder="1" applyProtection="1"/>
    <xf numFmtId="164" fontId="8" fillId="17" borderId="21" xfId="41" applyNumberFormat="1" applyFont="1" applyFill="1" applyBorder="1" applyAlignment="1" applyProtection="1">
      <alignment vertical="center"/>
      <protection locked="0"/>
    </xf>
    <xf numFmtId="164" fontId="8" fillId="16" borderId="21" xfId="41" applyNumberFormat="1" applyFont="1" applyFill="1" applyBorder="1" applyAlignment="1" applyProtection="1">
      <alignment vertical="center"/>
    </xf>
    <xf numFmtId="164" fontId="8" fillId="17" borderId="21" xfId="41" applyNumberFormat="1" applyFont="1" applyFill="1" applyBorder="1" applyAlignment="1" applyProtection="1">
      <protection locked="0"/>
    </xf>
    <xf numFmtId="164" fontId="8" fillId="17" borderId="21" xfId="41" applyNumberFormat="1" applyFont="1" applyFill="1" applyBorder="1" applyProtection="1">
      <protection locked="0"/>
    </xf>
    <xf numFmtId="3" fontId="14" fillId="0" borderId="0" xfId="4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3" fontId="9" fillId="0" borderId="0" xfId="41" applyNumberFormat="1" applyFont="1" applyFill="1" applyBorder="1" applyAlignment="1" applyProtection="1"/>
    <xf numFmtId="0" fontId="0" fillId="0" borderId="0" xfId="0" applyFill="1" applyBorder="1" applyProtection="1"/>
    <xf numFmtId="9" fontId="5" fillId="0" borderId="0" xfId="41" applyNumberFormat="1" applyFont="1" applyFill="1" applyBorder="1" applyAlignment="1" applyProtection="1">
      <alignment horizontal="center" vertical="center"/>
    </xf>
    <xf numFmtId="3" fontId="6" fillId="0" borderId="0" xfId="41" applyNumberFormat="1" applyFont="1" applyFill="1" applyBorder="1" applyAlignment="1" applyProtection="1">
      <alignment vertical="top" wrapText="1"/>
    </xf>
    <xf numFmtId="0" fontId="2" fillId="0" borderId="0" xfId="38" applyAlignment="1" applyProtection="1">
      <alignment vertical="center"/>
    </xf>
    <xf numFmtId="0" fontId="2" fillId="0" borderId="0" xfId="38" applyFill="1" applyAlignment="1" applyProtection="1">
      <alignment vertical="center"/>
    </xf>
    <xf numFmtId="0" fontId="1" fillId="0" borderId="0" xfId="38" applyFont="1" applyFill="1" applyBorder="1" applyAlignment="1" applyProtection="1">
      <alignment vertical="center"/>
    </xf>
    <xf numFmtId="0" fontId="2" fillId="0" borderId="0" xfId="38" applyFill="1" applyBorder="1" applyAlignment="1" applyProtection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4" xfId="12" applyFont="1" applyBorder="1" applyAlignment="1" applyProtection="1">
      <alignment horizontal="center" vertical="center"/>
    </xf>
    <xf numFmtId="0" fontId="3" fillId="0" borderId="5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1" fillId="0" borderId="0" xfId="38" applyFont="1" applyAlignment="1" applyProtection="1">
      <alignment vertical="center"/>
    </xf>
    <xf numFmtId="0" fontId="8" fillId="0" borderId="0" xfId="38" applyFont="1" applyAlignment="1" applyProtection="1">
      <alignment vertical="center"/>
    </xf>
    <xf numFmtId="10" fontId="1" fillId="16" borderId="0" xfId="28" applyNumberFormat="1" applyFont="1" applyFill="1" applyAlignment="1" applyProtection="1">
      <alignment horizontal="right" vertical="center"/>
    </xf>
    <xf numFmtId="0" fontId="2" fillId="0" borderId="0" xfId="38" applyFont="1" applyFill="1" applyBorder="1" applyAlignment="1" applyProtection="1">
      <alignment vertical="center"/>
    </xf>
    <xf numFmtId="169" fontId="1" fillId="0" borderId="0" xfId="38" applyNumberFormat="1" applyFont="1" applyFill="1" applyBorder="1" applyAlignment="1" applyProtection="1">
      <alignment horizontal="right" vertical="center"/>
    </xf>
    <xf numFmtId="0" fontId="2" fillId="0" borderId="0" xfId="38" applyFont="1" applyAlignment="1" applyProtection="1">
      <alignment vertical="center"/>
    </xf>
    <xf numFmtId="0" fontId="77" fillId="0" borderId="0" xfId="38" applyFont="1" applyAlignment="1" applyProtection="1">
      <alignment vertical="center"/>
    </xf>
    <xf numFmtId="0" fontId="78" fillId="0" borderId="0" xfId="38" applyNumberFormat="1" applyFont="1" applyFill="1" applyAlignment="1" applyProtection="1">
      <alignment horizontal="right" vertical="center"/>
    </xf>
    <xf numFmtId="0" fontId="2" fillId="0" borderId="0" xfId="38" applyFont="1" applyAlignment="1" applyProtection="1">
      <alignment horizontal="left" vertical="center"/>
    </xf>
    <xf numFmtId="10" fontId="2" fillId="0" borderId="0" xfId="38" applyNumberFormat="1" applyFont="1" applyFill="1" applyBorder="1" applyAlignment="1" applyProtection="1">
      <alignment horizontal="right" vertical="center"/>
    </xf>
    <xf numFmtId="0" fontId="2" fillId="0" borderId="0" xfId="38" applyFont="1" applyFill="1" applyAlignment="1" applyProtection="1">
      <alignment vertical="center"/>
    </xf>
    <xf numFmtId="9" fontId="5" fillId="0" borderId="0" xfId="41" applyNumberFormat="1" applyFont="1" applyFill="1" applyBorder="1" applyAlignment="1" applyProtection="1">
      <alignment horizontal="center"/>
    </xf>
    <xf numFmtId="171" fontId="8" fillId="0" borderId="0" xfId="38" applyNumberFormat="1" applyFont="1" applyFill="1" applyBorder="1" applyAlignment="1" applyProtection="1">
      <alignment vertical="center"/>
    </xf>
    <xf numFmtId="171" fontId="10" fillId="0" borderId="0" xfId="38" applyNumberFormat="1" applyFont="1" applyFill="1" applyAlignment="1" applyProtection="1">
      <alignment horizontal="right" vertical="center"/>
    </xf>
    <xf numFmtId="10" fontId="1" fillId="0" borderId="0" xfId="28" applyNumberFormat="1" applyFont="1" applyFill="1" applyAlignment="1" applyProtection="1">
      <alignment horizontal="right" vertical="center"/>
    </xf>
    <xf numFmtId="171" fontId="2" fillId="0" borderId="0" xfId="38" applyNumberFormat="1" applyFont="1" applyFill="1" applyBorder="1" applyAlignment="1" applyProtection="1">
      <alignment vertical="center"/>
    </xf>
    <xf numFmtId="10" fontId="1" fillId="16" borderId="0" xfId="38" applyNumberFormat="1" applyFont="1" applyFill="1" applyAlignment="1" applyProtection="1">
      <alignment horizontal="right" vertical="center"/>
    </xf>
    <xf numFmtId="1" fontId="3" fillId="16" borderId="0" xfId="12" applyNumberFormat="1" applyFont="1" applyFill="1" applyBorder="1" applyAlignment="1" applyProtection="1">
      <alignment horizontal="center" vertical="center"/>
    </xf>
    <xf numFmtId="0" fontId="79" fillId="18" borderId="0" xfId="37" applyFont="1" applyFill="1" applyBorder="1" applyProtection="1"/>
    <xf numFmtId="169" fontId="79" fillId="18" borderId="0" xfId="37" applyNumberFormat="1" applyFont="1" applyFill="1" applyBorder="1" applyProtection="1"/>
    <xf numFmtId="0" fontId="75" fillId="18" borderId="0" xfId="37" applyFont="1" applyFill="1" applyBorder="1" applyProtection="1"/>
    <xf numFmtId="170" fontId="80" fillId="18" borderId="0" xfId="37" applyNumberFormat="1" applyFont="1" applyFill="1" applyBorder="1" applyProtection="1"/>
    <xf numFmtId="9" fontId="75" fillId="18" borderId="0" xfId="37" applyNumberFormat="1" applyFont="1" applyFill="1" applyBorder="1" applyAlignment="1" applyProtection="1">
      <alignment horizontal="center"/>
    </xf>
    <xf numFmtId="164" fontId="79" fillId="18" borderId="0" xfId="37" applyNumberFormat="1" applyFont="1" applyFill="1" applyBorder="1" applyProtection="1"/>
    <xf numFmtId="164" fontId="8" fillId="0" borderId="20" xfId="41" applyNumberFormat="1" applyFont="1" applyFill="1" applyBorder="1" applyAlignment="1" applyProtection="1"/>
    <xf numFmtId="164" fontId="10" fillId="18" borderId="0" xfId="38" applyNumberFormat="1" applyFont="1" applyFill="1" applyAlignment="1" applyProtection="1">
      <alignment horizontal="right" vertical="center"/>
    </xf>
    <xf numFmtId="0" fontId="2" fillId="0" borderId="0" xfId="37" applyFont="1" applyBorder="1" applyAlignment="1" applyProtection="1">
      <alignment horizontal="right"/>
    </xf>
    <xf numFmtId="0" fontId="79" fillId="18" borderId="0" xfId="37" applyFont="1" applyFill="1" applyBorder="1" applyAlignment="1" applyProtection="1">
      <alignment horizontal="right"/>
    </xf>
    <xf numFmtId="164" fontId="79" fillId="18" borderId="0" xfId="37" applyNumberFormat="1" applyFont="1" applyFill="1" applyBorder="1" applyAlignment="1" applyProtection="1">
      <alignment horizontal="right"/>
    </xf>
    <xf numFmtId="10" fontId="81" fillId="0" borderId="0" xfId="41" applyNumberFormat="1" applyFont="1" applyFill="1" applyProtection="1"/>
    <xf numFmtId="164" fontId="8" fillId="16" borderId="21" xfId="41" applyNumberFormat="1" applyFont="1" applyFill="1" applyBorder="1" applyAlignment="1" applyProtection="1"/>
    <xf numFmtId="164" fontId="8" fillId="16" borderId="24" xfId="41" applyNumberFormat="1" applyFont="1" applyFill="1" applyBorder="1" applyAlignment="1" applyProtection="1"/>
    <xf numFmtId="164" fontId="79" fillId="18" borderId="0" xfId="38" applyNumberFormat="1" applyFont="1" applyFill="1" applyAlignment="1" applyProtection="1">
      <alignment horizontal="right" vertical="center"/>
    </xf>
    <xf numFmtId="10" fontId="2" fillId="0" borderId="0" xfId="37" applyNumberFormat="1" applyFont="1" applyBorder="1" applyAlignment="1" applyProtection="1">
      <alignment horizontal="center"/>
    </xf>
    <xf numFmtId="10" fontId="2" fillId="17" borderId="0" xfId="37" applyNumberFormat="1" applyFont="1" applyFill="1" applyAlignment="1" applyProtection="1">
      <alignment horizontal="right"/>
      <protection locked="0"/>
    </xf>
    <xf numFmtId="10" fontId="2" fillId="0" borderId="6" xfId="37" applyNumberFormat="1" applyFont="1" applyBorder="1" applyAlignment="1" applyProtection="1">
      <alignment horizontal="center"/>
    </xf>
    <xf numFmtId="10" fontId="2" fillId="0" borderId="2" xfId="37" applyNumberFormat="1" applyFont="1" applyBorder="1" applyAlignment="1" applyProtection="1">
      <alignment horizontal="center"/>
    </xf>
    <xf numFmtId="10" fontId="2" fillId="0" borderId="0" xfId="37" applyNumberFormat="1" applyFont="1" applyAlignment="1" applyProtection="1">
      <alignment horizontal="center"/>
    </xf>
    <xf numFmtId="10" fontId="2" fillId="17" borderId="20" xfId="38" applyNumberFormat="1" applyFont="1" applyFill="1" applyBorder="1" applyAlignment="1" applyProtection="1">
      <alignment horizontal="right" vertical="center"/>
      <protection locked="0"/>
    </xf>
    <xf numFmtId="10" fontId="2" fillId="17" borderId="21" xfId="38" applyNumberFormat="1" applyFont="1" applyFill="1" applyBorder="1" applyAlignment="1" applyProtection="1">
      <alignment horizontal="right" vertical="center"/>
      <protection locked="0"/>
    </xf>
    <xf numFmtId="10" fontId="2" fillId="17" borderId="25" xfId="38" applyNumberFormat="1" applyFont="1" applyFill="1" applyBorder="1" applyAlignment="1" applyProtection="1">
      <alignment horizontal="right" vertical="center"/>
      <protection locked="0"/>
    </xf>
    <xf numFmtId="10" fontId="2" fillId="0" borderId="7" xfId="38" applyNumberFormat="1" applyFont="1" applyFill="1" applyBorder="1" applyAlignment="1" applyProtection="1">
      <alignment horizontal="right" vertical="center"/>
    </xf>
    <xf numFmtId="10" fontId="5" fillId="0" borderId="0" xfId="41" applyNumberFormat="1" applyFont="1" applyProtection="1"/>
    <xf numFmtId="10" fontId="2" fillId="16" borderId="0" xfId="37" applyNumberFormat="1" applyFont="1" applyFill="1" applyProtection="1"/>
    <xf numFmtId="10" fontId="2" fillId="0" borderId="6" xfId="37" applyNumberFormat="1" applyFont="1" applyFill="1" applyBorder="1" applyAlignment="1" applyProtection="1">
      <alignment horizontal="center"/>
    </xf>
    <xf numFmtId="10" fontId="2" fillId="0" borderId="0" xfId="37" applyNumberFormat="1" applyFont="1" applyFill="1" applyAlignment="1" applyProtection="1">
      <alignment horizontal="center"/>
    </xf>
    <xf numFmtId="10" fontId="79" fillId="19" borderId="0" xfId="28" applyNumberFormat="1" applyFont="1" applyFill="1" applyAlignment="1" applyProtection="1">
      <alignment horizontal="right" vertical="center"/>
    </xf>
    <xf numFmtId="10" fontId="82" fillId="0" borderId="0" xfId="41" applyNumberFormat="1" applyFont="1" applyFill="1" applyProtection="1"/>
    <xf numFmtId="0" fontId="82" fillId="0" borderId="0" xfId="41" applyFont="1" applyFill="1" applyProtection="1"/>
    <xf numFmtId="0" fontId="8" fillId="0" borderId="0" xfId="41" applyFont="1" applyFill="1" applyBorder="1" applyAlignment="1" applyProtection="1">
      <alignment vertical="center"/>
    </xf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0" fontId="2" fillId="0" borderId="0" xfId="37" applyFont="1" applyAlignment="1" applyProtection="1"/>
    <xf numFmtId="0" fontId="5" fillId="0" borderId="0" xfId="41" applyFont="1" applyFill="1" applyBorder="1" applyAlignment="1" applyProtection="1"/>
    <xf numFmtId="10" fontId="81" fillId="0" borderId="0" xfId="41" applyNumberFormat="1" applyFont="1" applyFill="1" applyAlignment="1" applyProtection="1"/>
    <xf numFmtId="4" fontId="2" fillId="16" borderId="0" xfId="37" applyNumberFormat="1" applyFont="1" applyFill="1" applyAlignment="1" applyProtection="1"/>
    <xf numFmtId="0" fontId="76" fillId="0" borderId="0" xfId="41" applyFont="1" applyFill="1" applyAlignment="1" applyProtection="1"/>
    <xf numFmtId="0" fontId="2" fillId="0" borderId="0" xfId="38" applyAlignment="1" applyProtection="1"/>
    <xf numFmtId="10" fontId="2" fillId="0" borderId="0" xfId="38" applyNumberFormat="1" applyFont="1" applyFill="1" applyBorder="1" applyAlignment="1" applyProtection="1">
      <alignment horizontal="right"/>
    </xf>
    <xf numFmtId="10" fontId="2" fillId="0" borderId="7" xfId="38" applyNumberFormat="1" applyFont="1" applyFill="1" applyBorder="1" applyAlignment="1" applyProtection="1">
      <alignment horizontal="right"/>
    </xf>
    <xf numFmtId="0" fontId="0" fillId="0" borderId="0" xfId="0" applyAlignment="1" applyProtection="1"/>
    <xf numFmtId="0" fontId="29" fillId="0" borderId="0" xfId="41" applyFont="1" applyBorder="1" applyAlignment="1" applyProtection="1">
      <alignment horizontal="left"/>
    </xf>
    <xf numFmtId="164" fontId="8" fillId="16" borderId="20" xfId="41" applyNumberFormat="1" applyFont="1" applyFill="1" applyBorder="1" applyAlignment="1" applyProtection="1">
      <alignment vertical="center"/>
    </xf>
    <xf numFmtId="164" fontId="8" fillId="0" borderId="0" xfId="41" applyNumberFormat="1" applyFont="1" applyFill="1" applyBorder="1" applyAlignment="1" applyProtection="1">
      <protection locked="0"/>
    </xf>
    <xf numFmtId="1" fontId="5" fillId="0" borderId="27" xfId="41" applyNumberFormat="1" applyFont="1" applyFill="1" applyBorder="1" applyAlignment="1" applyProtection="1">
      <alignment horizontal="left"/>
    </xf>
    <xf numFmtId="167" fontId="5" fillId="0" borderId="27" xfId="41" applyNumberFormat="1" applyFont="1" applyFill="1" applyBorder="1" applyAlignment="1" applyProtection="1">
      <alignment horizontal="left"/>
    </xf>
    <xf numFmtId="0" fontId="5" fillId="0" borderId="27" xfId="41" applyFont="1" applyFill="1" applyBorder="1" applyAlignment="1" applyProtection="1"/>
    <xf numFmtId="0" fontId="9" fillId="0" borderId="4" xfId="41" applyFont="1" applyFill="1" applyBorder="1" applyAlignment="1" applyProtection="1">
      <alignment vertical="center" wrapText="1"/>
    </xf>
    <xf numFmtId="0" fontId="9" fillId="0" borderId="4" xfId="41" applyFont="1" applyFill="1" applyBorder="1" applyAlignment="1" applyProtection="1">
      <alignment horizontal="center" vertical="center" wrapText="1"/>
    </xf>
    <xf numFmtId="1" fontId="8" fillId="16" borderId="17" xfId="41" applyNumberFormat="1" applyFont="1" applyFill="1" applyBorder="1" applyAlignment="1" applyProtection="1">
      <alignment horizontal="center" vertical="center"/>
    </xf>
    <xf numFmtId="0" fontId="8" fillId="16" borderId="17" xfId="41" applyFont="1" applyFill="1" applyBorder="1" applyAlignment="1" applyProtection="1">
      <alignment vertical="center"/>
    </xf>
    <xf numFmtId="0" fontId="5" fillId="0" borderId="0" xfId="41" applyFont="1" applyBorder="1" applyAlignment="1" applyProtection="1">
      <alignment horizontal="center"/>
    </xf>
    <xf numFmtId="0" fontId="30" fillId="0" borderId="0" xfId="41" applyFont="1" applyAlignment="1" applyProtection="1">
      <alignment horizontal="left" vertical="center"/>
    </xf>
    <xf numFmtId="0" fontId="31" fillId="0" borderId="0" xfId="41" applyFont="1" applyFill="1" applyBorder="1" applyAlignment="1" applyProtection="1">
      <alignment vertical="center"/>
    </xf>
    <xf numFmtId="0" fontId="6" fillId="0" borderId="0" xfId="41" applyFont="1" applyBorder="1" applyAlignment="1" applyProtection="1">
      <alignment horizontal="center"/>
    </xf>
    <xf numFmtId="0" fontId="5" fillId="0" borderId="0" xfId="41" applyFont="1" applyFill="1" applyAlignment="1" applyProtection="1">
      <alignment horizontal="center"/>
    </xf>
    <xf numFmtId="3" fontId="5" fillId="0" borderId="0" xfId="41" applyNumberFormat="1" applyFont="1" applyFill="1" applyBorder="1" applyAlignment="1" applyProtection="1">
      <alignment horizontal="center" wrapText="1"/>
    </xf>
    <xf numFmtId="0" fontId="22" fillId="0" borderId="0" xfId="41" applyFont="1" applyFill="1" applyBorder="1" applyAlignment="1" applyProtection="1">
      <alignment horizontal="center" vertical="center"/>
    </xf>
    <xf numFmtId="10" fontId="16" fillId="0" borderId="0" xfId="41" applyNumberFormat="1" applyFont="1" applyFill="1" applyBorder="1" applyAlignment="1" applyProtection="1">
      <alignment horizontal="center" vertical="center"/>
    </xf>
    <xf numFmtId="10" fontId="5" fillId="0" borderId="17" xfId="41" applyNumberFormat="1" applyFont="1" applyFill="1" applyBorder="1" applyAlignment="1" applyProtection="1">
      <alignment horizontal="center" vertical="center"/>
    </xf>
    <xf numFmtId="0" fontId="13" fillId="0" borderId="4" xfId="41" applyFont="1" applyFill="1" applyBorder="1" applyAlignment="1" applyProtection="1">
      <alignment horizontal="center" vertical="center"/>
    </xf>
    <xf numFmtId="49" fontId="5" fillId="0" borderId="18" xfId="41" applyNumberFormat="1" applyFont="1" applyFill="1" applyBorder="1" applyAlignment="1" applyProtection="1">
      <alignment horizontal="center"/>
    </xf>
    <xf numFmtId="10" fontId="83" fillId="0" borderId="20" xfId="38" applyNumberFormat="1" applyFont="1" applyFill="1" applyBorder="1" applyAlignment="1" applyProtection="1">
      <alignment horizontal="right" vertical="center"/>
      <protection locked="0"/>
    </xf>
    <xf numFmtId="10" fontId="83" fillId="0" borderId="21" xfId="38" applyNumberFormat="1" applyFont="1" applyFill="1" applyBorder="1" applyAlignment="1" applyProtection="1">
      <alignment horizontal="right" vertical="center"/>
      <protection locked="0"/>
    </xf>
    <xf numFmtId="10" fontId="83" fillId="0" borderId="0" xfId="38" applyNumberFormat="1" applyFont="1" applyFill="1" applyBorder="1" applyAlignment="1" applyProtection="1">
      <alignment horizontal="right" vertical="center"/>
    </xf>
    <xf numFmtId="10" fontId="78" fillId="0" borderId="0" xfId="28" applyNumberFormat="1" applyFont="1" applyFill="1" applyAlignment="1" applyProtection="1">
      <alignment horizontal="right"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10" fontId="83" fillId="0" borderId="28" xfId="38" applyNumberFormat="1" applyFont="1" applyFill="1" applyBorder="1" applyAlignment="1" applyProtection="1">
      <alignment horizontal="right" vertical="center"/>
      <protection locked="0"/>
    </xf>
    <xf numFmtId="10" fontId="2" fillId="17" borderId="28" xfId="38" applyNumberFormat="1" applyFont="1" applyFill="1" applyBorder="1" applyAlignment="1" applyProtection="1">
      <alignment horizontal="right" vertical="center"/>
      <protection locked="0"/>
    </xf>
    <xf numFmtId="0" fontId="2" fillId="0" borderId="0" xfId="38" applyBorder="1" applyAlignment="1" applyProtection="1">
      <alignment vertical="center"/>
    </xf>
    <xf numFmtId="0" fontId="77" fillId="0" borderId="0" xfId="38" applyFont="1" applyBorder="1" applyAlignment="1" applyProtection="1">
      <alignment vertical="center"/>
    </xf>
    <xf numFmtId="0" fontId="78" fillId="0" borderId="0" xfId="38" applyNumberFormat="1" applyFont="1" applyFill="1" applyBorder="1" applyAlignment="1" applyProtection="1">
      <alignment horizontal="right" vertical="center"/>
    </xf>
    <xf numFmtId="0" fontId="23" fillId="0" borderId="4" xfId="38" applyFont="1" applyBorder="1" applyAlignment="1" applyProtection="1">
      <alignment vertical="center"/>
    </xf>
    <xf numFmtId="0" fontId="84" fillId="0" borderId="4" xfId="38" applyFont="1" applyBorder="1" applyAlignment="1" applyProtection="1">
      <alignment vertical="center"/>
    </xf>
    <xf numFmtId="0" fontId="32" fillId="0" borderId="4" xfId="41" applyFont="1" applyFill="1" applyBorder="1" applyProtection="1"/>
    <xf numFmtId="10" fontId="86" fillId="0" borderId="4" xfId="38" applyNumberFormat="1" applyFont="1" applyFill="1" applyBorder="1" applyAlignment="1" applyProtection="1">
      <alignment horizontal="right" vertical="center"/>
      <protection locked="0"/>
    </xf>
    <xf numFmtId="3" fontId="32" fillId="0" borderId="0" xfId="41" applyNumberFormat="1" applyFont="1" applyFill="1" applyBorder="1" applyAlignment="1" applyProtection="1">
      <alignment horizontal="right"/>
    </xf>
    <xf numFmtId="0" fontId="87" fillId="0" borderId="0" xfId="0" applyFont="1" applyFill="1" applyBorder="1"/>
    <xf numFmtId="0" fontId="32" fillId="0" borderId="0" xfId="41" applyFont="1" applyFill="1" applyBorder="1" applyProtection="1"/>
    <xf numFmtId="10" fontId="85" fillId="0" borderId="4" xfId="28" applyNumberFormat="1" applyFont="1" applyFill="1" applyBorder="1" applyAlignment="1" applyProtection="1">
      <alignment horizontal="right" vertical="center"/>
    </xf>
    <xf numFmtId="10" fontId="23" fillId="0" borderId="4" xfId="38" applyNumberFormat="1" applyFont="1" applyFill="1" applyBorder="1" applyAlignment="1" applyProtection="1">
      <alignment horizontal="right" vertical="center"/>
    </xf>
    <xf numFmtId="171" fontId="23" fillId="0" borderId="0" xfId="38" applyNumberFormat="1" applyFont="1" applyFill="1" applyBorder="1" applyAlignment="1" applyProtection="1">
      <alignment vertical="center"/>
    </xf>
    <xf numFmtId="10" fontId="78" fillId="0" borderId="0" xfId="28" applyNumberFormat="1" applyFont="1" applyFill="1" applyBorder="1" applyAlignment="1" applyProtection="1">
      <alignment horizontal="right" vertical="center"/>
    </xf>
    <xf numFmtId="171" fontId="2" fillId="0" borderId="0" xfId="38" applyNumberFormat="1" applyFont="1" applyBorder="1" applyAlignment="1" applyProtection="1">
      <alignment vertical="center"/>
    </xf>
    <xf numFmtId="171" fontId="9" fillId="0" borderId="0" xfId="38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2" fillId="0" borderId="0" xfId="37" applyFont="1" applyBorder="1" applyAlignment="1" applyProtection="1"/>
    <xf numFmtId="0" fontId="2" fillId="0" borderId="0" xfId="38" applyFont="1" applyBorder="1" applyAlignment="1" applyProtection="1">
      <alignment vertical="center"/>
    </xf>
    <xf numFmtId="10" fontId="2" fillId="17" borderId="0" xfId="38" applyNumberFormat="1" applyFont="1" applyFill="1" applyBorder="1" applyAlignment="1" applyProtection="1">
      <alignment vertical="center"/>
      <protection locked="0"/>
    </xf>
    <xf numFmtId="10" fontId="2" fillId="0" borderId="4" xfId="38" applyNumberFormat="1" applyFont="1" applyFill="1" applyBorder="1" applyAlignment="1" applyProtection="1">
      <alignment vertical="center"/>
      <protection locked="0"/>
    </xf>
    <xf numFmtId="169" fontId="76" fillId="0" borderId="0" xfId="38" applyNumberFormat="1" applyFont="1" applyFill="1" applyBorder="1" applyAlignment="1" applyProtection="1">
      <alignment horizontal="left" vertical="center"/>
    </xf>
    <xf numFmtId="171" fontId="2" fillId="0" borderId="0" xfId="38" applyNumberFormat="1" applyFont="1" applyFill="1" applyBorder="1" applyAlignment="1" applyProtection="1">
      <alignment horizontal="center"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177" fontId="8" fillId="17" borderId="26" xfId="41" applyNumberFormat="1" applyFont="1" applyFill="1" applyBorder="1" applyAlignment="1" applyProtection="1">
      <alignment horizontal="right"/>
      <protection locked="0"/>
    </xf>
    <xf numFmtId="164" fontId="8" fillId="0" borderId="0" xfId="37" applyNumberFormat="1" applyFont="1" applyFill="1" applyBorder="1" applyAlignment="1" applyProtection="1">
      <alignment horizontal="right" vertical="center"/>
    </xf>
    <xf numFmtId="3" fontId="34" fillId="16" borderId="0" xfId="41" applyNumberFormat="1" applyFont="1" applyFill="1" applyBorder="1" applyAlignment="1" applyProtection="1">
      <alignment horizontal="center" vertical="center"/>
    </xf>
    <xf numFmtId="0" fontId="1" fillId="16" borderId="0" xfId="41" applyFont="1" applyFill="1" applyBorder="1" applyAlignment="1" applyProtection="1">
      <alignment horizontal="left" vertical="center"/>
    </xf>
    <xf numFmtId="164" fontId="1" fillId="0" borderId="0" xfId="41" applyNumberFormat="1" applyFont="1" applyFill="1" applyBorder="1" applyAlignment="1" applyProtection="1">
      <alignment horizontal="right" vertical="center"/>
    </xf>
    <xf numFmtId="164" fontId="8" fillId="0" borderId="0" xfId="37" applyNumberFormat="1" applyFont="1" applyFill="1" applyBorder="1" applyAlignment="1" applyProtection="1">
      <alignment vertical="center"/>
    </xf>
    <xf numFmtId="10" fontId="83" fillId="0" borderId="0" xfId="38" applyNumberFormat="1" applyFont="1" applyFill="1" applyBorder="1" applyAlignment="1" applyProtection="1">
      <alignment horizontal="right" vertical="center"/>
      <protection locked="0"/>
    </xf>
    <xf numFmtId="1" fontId="9" fillId="0" borderId="0" xfId="41" applyNumberFormat="1" applyFont="1" applyFill="1" applyBorder="1" applyAlignment="1" applyProtection="1">
      <alignment horizontal="left" vertical="center"/>
    </xf>
    <xf numFmtId="164" fontId="9" fillId="0" borderId="0" xfId="37" applyNumberFormat="1" applyFont="1" applyFill="1" applyBorder="1" applyAlignment="1" applyProtection="1">
      <alignment vertical="center"/>
    </xf>
    <xf numFmtId="1" fontId="5" fillId="0" borderId="0" xfId="12" applyNumberFormat="1" applyFont="1" applyFill="1" applyBorder="1" applyAlignment="1" applyProtection="1">
      <alignment horizontal="left" vertical="center"/>
    </xf>
    <xf numFmtId="1" fontId="3" fillId="0" borderId="4" xfId="12" applyNumberFormat="1" applyFont="1" applyFill="1" applyBorder="1" applyAlignment="1" applyProtection="1">
      <alignment horizontal="center" vertical="center"/>
      <protection locked="0"/>
    </xf>
    <xf numFmtId="1" fontId="3" fillId="0" borderId="5" xfId="12" applyNumberFormat="1" applyFont="1" applyFill="1" applyBorder="1" applyAlignment="1" applyProtection="1">
      <alignment horizontal="center" vertical="center"/>
      <protection locked="0"/>
    </xf>
    <xf numFmtId="164" fontId="10" fillId="0" borderId="0" xfId="38" applyNumberFormat="1" applyFont="1" applyFill="1" applyAlignment="1" applyProtection="1">
      <alignment horizontal="right" vertical="center"/>
    </xf>
    <xf numFmtId="10" fontId="2" fillId="0" borderId="20" xfId="38" applyNumberFormat="1" applyFont="1" applyFill="1" applyBorder="1" applyAlignment="1" applyProtection="1">
      <alignment horizontal="right" vertical="center"/>
      <protection locked="0"/>
    </xf>
    <xf numFmtId="10" fontId="2" fillId="0" borderId="21" xfId="38" applyNumberFormat="1" applyFont="1" applyFill="1" applyBorder="1" applyAlignment="1" applyProtection="1">
      <alignment horizontal="right" vertical="center"/>
      <protection locked="0"/>
    </xf>
    <xf numFmtId="9" fontId="5" fillId="0" borderId="0" xfId="41" applyNumberFormat="1" applyFont="1" applyFill="1" applyProtection="1"/>
    <xf numFmtId="10" fontId="2" fillId="0" borderId="0" xfId="37" applyNumberFormat="1" applyFont="1" applyFill="1" applyAlignment="1" applyProtection="1">
      <alignment horizontal="right"/>
      <protection locked="0"/>
    </xf>
    <xf numFmtId="10" fontId="2" fillId="0" borderId="2" xfId="37" applyNumberFormat="1" applyFont="1" applyFill="1" applyBorder="1" applyAlignment="1" applyProtection="1">
      <alignment horizontal="center"/>
    </xf>
    <xf numFmtId="10" fontId="2" fillId="0" borderId="0" xfId="37" applyNumberFormat="1" applyFont="1" applyFill="1" applyBorder="1" applyAlignment="1" applyProtection="1">
      <alignment horizontal="center"/>
    </xf>
    <xf numFmtId="171" fontId="2" fillId="0" borderId="29" xfId="38" applyNumberFormat="1" applyFont="1" applyFill="1" applyBorder="1" applyAlignment="1" applyProtection="1">
      <alignment vertical="center"/>
      <protection locked="0"/>
    </xf>
    <xf numFmtId="3" fontId="34" fillId="16" borderId="0" xfId="41" applyNumberFormat="1" applyFont="1" applyFill="1" applyBorder="1" applyAlignment="1" applyProtection="1">
      <alignment horizontal="center"/>
    </xf>
    <xf numFmtId="164" fontId="1" fillId="16" borderId="29" xfId="41" applyNumberFormat="1" applyFont="1" applyFill="1" applyBorder="1" applyAlignment="1" applyProtection="1">
      <alignment horizontal="right"/>
    </xf>
    <xf numFmtId="0" fontId="1" fillId="16" borderId="0" xfId="38" applyFont="1" applyFill="1" applyBorder="1" applyAlignment="1" applyProtection="1">
      <alignment vertical="center"/>
    </xf>
    <xf numFmtId="0" fontId="2" fillId="16" borderId="0" xfId="38" applyFill="1" applyBorder="1" applyAlignment="1" applyProtection="1">
      <alignment vertical="center"/>
    </xf>
    <xf numFmtId="10" fontId="5" fillId="16" borderId="0" xfId="41" applyNumberFormat="1" applyFont="1" applyFill="1" applyBorder="1" applyAlignment="1" applyProtection="1">
      <alignment horizontal="right"/>
    </xf>
    <xf numFmtId="0" fontId="5" fillId="16" borderId="0" xfId="41" applyFont="1" applyFill="1" applyProtection="1"/>
    <xf numFmtId="10" fontId="5" fillId="16" borderId="0" xfId="41" applyNumberFormat="1" applyFont="1" applyFill="1" applyBorder="1" applyAlignment="1" applyProtection="1">
      <alignment horizontal="center"/>
    </xf>
    <xf numFmtId="0" fontId="1" fillId="0" borderId="0" xfId="37" applyFont="1" applyFill="1" applyBorder="1" applyAlignment="1" applyProtection="1"/>
    <xf numFmtId="164" fontId="9" fillId="16" borderId="0" xfId="37" applyNumberFormat="1" applyFont="1" applyFill="1" applyBorder="1" applyAlignment="1" applyProtection="1">
      <alignment vertical="center"/>
    </xf>
    <xf numFmtId="10" fontId="81" fillId="0" borderId="0" xfId="41" applyNumberFormat="1" applyFont="1" applyFill="1" applyProtection="1"/>
    <xf numFmtId="0" fontId="0" fillId="0" borderId="0" xfId="0" applyBorder="1" applyProtection="1"/>
    <xf numFmtId="169" fontId="76" fillId="0" borderId="0" xfId="38" applyNumberFormat="1" applyFont="1" applyFill="1" applyBorder="1" applyAlignment="1" applyProtection="1">
      <alignment horizontal="left" vertical="center"/>
    </xf>
    <xf numFmtId="0" fontId="1" fillId="16" borderId="0" xfId="37" applyFont="1" applyFill="1" applyBorder="1" applyAlignment="1" applyProtection="1"/>
    <xf numFmtId="0" fontId="2" fillId="16" borderId="0" xfId="37" applyFont="1" applyFill="1" applyBorder="1" applyAlignment="1" applyProtection="1">
      <alignment vertical="center"/>
    </xf>
    <xf numFmtId="0" fontId="2" fillId="16" borderId="0" xfId="38" applyFont="1" applyFill="1" applyBorder="1" applyAlignment="1" applyProtection="1">
      <alignment vertical="center"/>
    </xf>
    <xf numFmtId="169" fontId="1" fillId="16" borderId="0" xfId="38" applyNumberFormat="1" applyFont="1" applyFill="1" applyBorder="1" applyAlignment="1" applyProtection="1">
      <alignment horizontal="right" vertical="center"/>
    </xf>
    <xf numFmtId="10" fontId="2" fillId="17" borderId="0" xfId="38" applyNumberFormat="1" applyFont="1" applyFill="1" applyBorder="1" applyAlignment="1" applyProtection="1">
      <alignment horizontal="right" vertical="center"/>
      <protection locked="0"/>
    </xf>
    <xf numFmtId="171" fontId="9" fillId="16" borderId="0" xfId="37" applyNumberFormat="1" applyFont="1" applyFill="1" applyBorder="1" applyAlignment="1" applyProtection="1">
      <alignment vertical="center"/>
    </xf>
    <xf numFmtId="0" fontId="9" fillId="16" borderId="0" xfId="41" applyFont="1" applyFill="1" applyBorder="1" applyProtection="1"/>
    <xf numFmtId="0" fontId="6" fillId="16" borderId="0" xfId="41" applyFont="1" applyFill="1" applyAlignment="1" applyProtection="1">
      <alignment horizontal="left"/>
    </xf>
    <xf numFmtId="0" fontId="5" fillId="16" borderId="0" xfId="41" applyFont="1" applyFill="1" applyBorder="1" applyProtection="1"/>
    <xf numFmtId="171" fontId="2" fillId="16" borderId="0" xfId="38" applyNumberFormat="1" applyFont="1" applyFill="1" applyBorder="1" applyAlignment="1" applyProtection="1">
      <alignment vertical="center"/>
    </xf>
    <xf numFmtId="9" fontId="2" fillId="16" borderId="0" xfId="37" applyNumberFormat="1" applyFont="1" applyFill="1" applyBorder="1" applyAlignment="1" applyProtection="1">
      <alignment horizontal="center"/>
    </xf>
    <xf numFmtId="9" fontId="2" fillId="16" borderId="0" xfId="37" applyNumberFormat="1" applyFont="1" applyFill="1" applyAlignment="1" applyProtection="1">
      <alignment horizontal="center"/>
    </xf>
    <xf numFmtId="10" fontId="2" fillId="16" borderId="0" xfId="37" applyNumberFormat="1" applyFont="1" applyFill="1" applyBorder="1" applyAlignment="1" applyProtection="1">
      <alignment horizontal="center"/>
    </xf>
    <xf numFmtId="170" fontId="7" fillId="16" borderId="0" xfId="37" applyNumberFormat="1" applyFont="1" applyFill="1" applyBorder="1" applyProtection="1"/>
    <xf numFmtId="10" fontId="5" fillId="16" borderId="0" xfId="41" applyNumberFormat="1" applyFont="1" applyFill="1" applyProtection="1"/>
    <xf numFmtId="0" fontId="0" fillId="0" borderId="0" xfId="0" applyFill="1" applyBorder="1"/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18" fillId="16" borderId="0" xfId="41" applyFont="1" applyFill="1" applyBorder="1" applyProtection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64" fontId="1" fillId="16" borderId="0" xfId="37" applyNumberFormat="1" applyFont="1" applyFill="1" applyProtection="1"/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1" fontId="3" fillId="17" borderId="5" xfId="12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Border="1" applyProtection="1"/>
    <xf numFmtId="10" fontId="2" fillId="0" borderId="26" xfId="28" applyNumberFormat="1" applyFont="1" applyFill="1" applyBorder="1" applyAlignment="1" applyProtection="1">
      <alignment horizontal="right"/>
      <protection locked="0"/>
    </xf>
    <xf numFmtId="10" fontId="81" fillId="0" borderId="0" xfId="41" applyNumberFormat="1" applyFont="1" applyFill="1" applyProtection="1"/>
    <xf numFmtId="10" fontId="83" fillId="0" borderId="0" xfId="38" applyNumberFormat="1" applyFont="1" applyFill="1" applyBorder="1" applyAlignment="1" applyProtection="1">
      <alignment horizontal="right" vertical="center"/>
    </xf>
    <xf numFmtId="0" fontId="0" fillId="16" borderId="0" xfId="0" applyFill="1" applyProtection="1"/>
    <xf numFmtId="177" fontId="8" fillId="17" borderId="26" xfId="4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173" fontId="5" fillId="0" borderId="17" xfId="41" applyNumberFormat="1" applyFont="1" applyFill="1" applyBorder="1" applyAlignment="1" applyProtection="1">
      <alignment horizontal="right" vertical="center"/>
    </xf>
    <xf numFmtId="164" fontId="8" fillId="16" borderId="17" xfId="41" applyNumberFormat="1" applyFont="1" applyFill="1" applyBorder="1" applyAlignment="1" applyProtection="1"/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0" fontId="0" fillId="0" borderId="0" xfId="0"/>
    <xf numFmtId="0" fontId="0" fillId="0" borderId="0" xfId="0" applyFill="1" applyBorder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164" fontId="1" fillId="16" borderId="0" xfId="37" applyNumberFormat="1" applyFont="1" applyFill="1" applyProtection="1"/>
    <xf numFmtId="1" fontId="9" fillId="16" borderId="0" xfId="41" applyNumberFormat="1" applyFont="1" applyFill="1" applyBorder="1" applyAlignment="1" applyProtection="1">
      <alignment horizontal="left"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164" fontId="1" fillId="16" borderId="0" xfId="37" applyNumberFormat="1" applyFont="1" applyFill="1" applyProtection="1"/>
    <xf numFmtId="10" fontId="2" fillId="17" borderId="0" xfId="37" applyNumberFormat="1" applyFont="1" applyFill="1" applyAlignment="1" applyProtection="1">
      <alignment horizontal="right"/>
      <protection locked="0"/>
    </xf>
    <xf numFmtId="0" fontId="0" fillId="0" borderId="0" xfId="0" applyBorder="1" applyProtection="1"/>
    <xf numFmtId="10" fontId="81" fillId="0" borderId="0" xfId="41" applyNumberFormat="1" applyFont="1" applyFill="1" applyProtection="1"/>
    <xf numFmtId="0" fontId="0" fillId="0" borderId="0" xfId="0" applyBorder="1" applyProtection="1"/>
    <xf numFmtId="169" fontId="76" fillId="0" borderId="0" xfId="38" applyNumberFormat="1" applyFont="1" applyFill="1" applyBorder="1" applyAlignment="1" applyProtection="1">
      <alignment horizontal="left"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18" fillId="16" borderId="0" xfId="41" applyFont="1" applyFill="1" applyBorder="1" applyProtection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164" fontId="1" fillId="16" borderId="0" xfId="37" applyNumberFormat="1" applyFont="1" applyFill="1" applyProtection="1"/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0" fontId="0" fillId="0" borderId="0" xfId="0" applyProtection="1"/>
    <xf numFmtId="0" fontId="77" fillId="0" borderId="0" xfId="38" applyFont="1" applyAlignment="1" applyProtection="1">
      <alignment vertical="center"/>
    </xf>
    <xf numFmtId="0" fontId="79" fillId="18" borderId="0" xfId="37" applyFont="1" applyFill="1" applyBorder="1" applyProtection="1"/>
    <xf numFmtId="169" fontId="79" fillId="18" borderId="0" xfId="37" applyNumberFormat="1" applyFont="1" applyFill="1" applyBorder="1" applyProtection="1"/>
    <xf numFmtId="0" fontId="75" fillId="18" borderId="0" xfId="37" applyFont="1" applyFill="1" applyBorder="1" applyProtection="1"/>
    <xf numFmtId="9" fontId="75" fillId="18" borderId="0" xfId="37" applyNumberFormat="1" applyFont="1" applyFill="1" applyBorder="1" applyAlignment="1" applyProtection="1">
      <alignment horizontal="center"/>
    </xf>
    <xf numFmtId="164" fontId="79" fillId="18" borderId="0" xfId="37" applyNumberFormat="1" applyFont="1" applyFill="1" applyBorder="1" applyProtection="1"/>
    <xf numFmtId="0" fontId="79" fillId="18" borderId="0" xfId="37" applyFont="1" applyFill="1" applyBorder="1" applyAlignment="1" applyProtection="1">
      <alignment horizontal="right"/>
    </xf>
    <xf numFmtId="10" fontId="81" fillId="0" borderId="0" xfId="41" applyNumberFormat="1" applyFont="1" applyFill="1" applyProtection="1"/>
    <xf numFmtId="10" fontId="2" fillId="17" borderId="0" xfId="37" applyNumberFormat="1" applyFont="1" applyFill="1" applyAlignment="1" applyProtection="1">
      <alignment horizontal="right"/>
      <protection locked="0"/>
    </xf>
    <xf numFmtId="10" fontId="2" fillId="17" borderId="21" xfId="38" applyNumberFormat="1" applyFont="1" applyFill="1" applyBorder="1" applyAlignment="1" applyProtection="1">
      <alignment horizontal="right" vertical="center"/>
      <protection locked="0"/>
    </xf>
    <xf numFmtId="10" fontId="2" fillId="17" borderId="25" xfId="38" applyNumberFormat="1" applyFont="1" applyFill="1" applyBorder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169" fontId="76" fillId="0" borderId="0" xfId="38" applyNumberFormat="1" applyFont="1" applyFill="1" applyBorder="1" applyAlignment="1" applyProtection="1">
      <alignment horizontal="left"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0" fontId="1" fillId="0" borderId="0" xfId="41" applyFont="1" applyFill="1" applyAlignment="1" applyProtection="1">
      <alignment horizontal="left" vertical="center"/>
    </xf>
    <xf numFmtId="3" fontId="34" fillId="0" borderId="0" xfId="41" applyNumberFormat="1" applyFont="1" applyFill="1" applyBorder="1" applyAlignment="1" applyProtection="1">
      <alignment horizontal="center"/>
    </xf>
    <xf numFmtId="164" fontId="1" fillId="0" borderId="0" xfId="41" applyNumberFormat="1" applyFont="1" applyFill="1" applyBorder="1" applyAlignment="1" applyProtection="1">
      <alignment horizontal="right"/>
    </xf>
    <xf numFmtId="1" fontId="9" fillId="16" borderId="0" xfId="41" applyNumberFormat="1" applyFont="1" applyFill="1" applyBorder="1" applyAlignment="1" applyProtection="1">
      <alignment horizontal="left" vertical="center"/>
    </xf>
    <xf numFmtId="10" fontId="1" fillId="16" borderId="0" xfId="28" applyNumberFormat="1" applyFont="1" applyFill="1" applyAlignment="1" applyProtection="1">
      <alignment horizontal="right"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10" fontId="81" fillId="0" borderId="0" xfId="41" applyNumberFormat="1" applyFont="1" applyFill="1" applyProtection="1"/>
    <xf numFmtId="0" fontId="0" fillId="0" borderId="0" xfId="0" applyBorder="1" applyProtection="1"/>
    <xf numFmtId="169" fontId="76" fillId="0" borderId="0" xfId="38" applyNumberFormat="1" applyFont="1" applyFill="1" applyBorder="1" applyAlignment="1" applyProtection="1">
      <alignment horizontal="left" vertical="center"/>
    </xf>
    <xf numFmtId="3" fontId="18" fillId="0" borderId="0" xfId="41" applyNumberFormat="1" applyFont="1" applyFill="1" applyBorder="1" applyAlignment="1" applyProtection="1">
      <alignment horizontal="right"/>
    </xf>
    <xf numFmtId="0" fontId="9" fillId="16" borderId="0" xfId="41" applyFont="1" applyFill="1" applyBorder="1" applyAlignment="1" applyProtection="1">
      <alignment horizontal="left"/>
    </xf>
    <xf numFmtId="0" fontId="0" fillId="0" borderId="0" xfId="0" applyBorder="1" applyAlignment="1" applyProtection="1"/>
    <xf numFmtId="169" fontId="76" fillId="16" borderId="0" xfId="38" applyNumberFormat="1" applyFont="1" applyFill="1" applyBorder="1" applyAlignment="1" applyProtection="1">
      <alignment horizontal="left"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10" fontId="81" fillId="0" borderId="0" xfId="41" applyNumberFormat="1" applyFont="1" applyFill="1" applyProtection="1"/>
    <xf numFmtId="169" fontId="76" fillId="0" borderId="0" xfId="38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18" fillId="16" borderId="0" xfId="41" applyFont="1" applyFill="1" applyBorder="1" applyProtection="1"/>
    <xf numFmtId="164" fontId="1" fillId="16" borderId="0" xfId="41" applyNumberFormat="1" applyFont="1" applyFill="1" applyBorder="1" applyAlignment="1" applyProtection="1">
      <alignment horizontal="right"/>
    </xf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64" fontId="1" fillId="16" borderId="0" xfId="37" applyNumberFormat="1" applyFont="1" applyFill="1" applyProtection="1"/>
    <xf numFmtId="9" fontId="2" fillId="16" borderId="0" xfId="37" applyNumberFormat="1" applyFont="1" applyFill="1" applyProtection="1"/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0" fontId="79" fillId="18" borderId="0" xfId="37" applyFont="1" applyFill="1" applyBorder="1" applyProtection="1"/>
    <xf numFmtId="169" fontId="79" fillId="18" borderId="0" xfId="37" applyNumberFormat="1" applyFont="1" applyFill="1" applyBorder="1" applyProtection="1"/>
    <xf numFmtId="0" fontId="75" fillId="18" borderId="0" xfId="37" applyFont="1" applyFill="1" applyBorder="1" applyProtection="1"/>
    <xf numFmtId="9" fontId="75" fillId="18" borderId="0" xfId="37" applyNumberFormat="1" applyFont="1" applyFill="1" applyBorder="1" applyAlignment="1" applyProtection="1">
      <alignment horizontal="center"/>
    </xf>
    <xf numFmtId="164" fontId="79" fillId="18" borderId="0" xfId="37" applyNumberFormat="1" applyFont="1" applyFill="1" applyBorder="1" applyProtection="1"/>
    <xf numFmtId="0" fontId="79" fillId="18" borderId="0" xfId="37" applyFont="1" applyFill="1" applyBorder="1" applyAlignment="1" applyProtection="1">
      <alignment horizontal="right"/>
    </xf>
    <xf numFmtId="10" fontId="2" fillId="17" borderId="0" xfId="37" applyNumberFormat="1" applyFont="1" applyFill="1" applyAlignment="1" applyProtection="1">
      <alignment horizontal="right"/>
      <protection locked="0"/>
    </xf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10" fontId="2" fillId="0" borderId="26" xfId="28" applyNumberFormat="1" applyFont="1" applyFill="1" applyBorder="1" applyAlignment="1" applyProtection="1">
      <alignment horizontal="right"/>
      <protection locked="0"/>
    </xf>
    <xf numFmtId="0" fontId="13" fillId="16" borderId="0" xfId="41" applyFont="1" applyFill="1" applyBorder="1" applyAlignment="1" applyProtection="1">
      <alignment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18" fillId="16" borderId="0" xfId="41" applyFont="1" applyFill="1" applyBorder="1" applyProtection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64" fontId="1" fillId="16" borderId="0" xfId="37" applyNumberFormat="1" applyFont="1" applyFill="1" applyProtection="1"/>
    <xf numFmtId="9" fontId="2" fillId="16" borderId="0" xfId="37" applyNumberFormat="1" applyFont="1" applyFill="1" applyProtection="1"/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0" fontId="0" fillId="0" borderId="0" xfId="0" applyProtection="1"/>
    <xf numFmtId="0" fontId="79" fillId="18" borderId="0" xfId="37" applyFont="1" applyFill="1" applyBorder="1" applyProtection="1"/>
    <xf numFmtId="169" fontId="79" fillId="18" borderId="0" xfId="37" applyNumberFormat="1" applyFont="1" applyFill="1" applyBorder="1" applyProtection="1"/>
    <xf numFmtId="0" fontId="75" fillId="18" borderId="0" xfId="37" applyFont="1" applyFill="1" applyBorder="1" applyProtection="1"/>
    <xf numFmtId="9" fontId="75" fillId="18" borderId="0" xfId="37" applyNumberFormat="1" applyFont="1" applyFill="1" applyBorder="1" applyAlignment="1" applyProtection="1">
      <alignment horizontal="center"/>
    </xf>
    <xf numFmtId="164" fontId="79" fillId="18" borderId="0" xfId="37" applyNumberFormat="1" applyFont="1" applyFill="1" applyBorder="1" applyProtection="1"/>
    <xf numFmtId="0" fontId="79" fillId="18" borderId="0" xfId="37" applyFont="1" applyFill="1" applyBorder="1" applyAlignment="1" applyProtection="1">
      <alignment horizontal="right"/>
    </xf>
    <xf numFmtId="10" fontId="2" fillId="17" borderId="0" xfId="37" applyNumberFormat="1" applyFont="1" applyFill="1" applyAlignment="1" applyProtection="1">
      <alignment horizontal="right"/>
      <protection locked="0"/>
    </xf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10" fontId="2" fillId="0" borderId="26" xfId="28" applyNumberFormat="1" applyFont="1" applyFill="1" applyBorder="1" applyAlignment="1" applyProtection="1">
      <alignment horizontal="right"/>
      <protection locked="0"/>
    </xf>
    <xf numFmtId="0" fontId="6" fillId="16" borderId="0" xfId="41" applyFont="1" applyFill="1" applyBorder="1" applyAlignment="1" applyProtection="1">
      <alignment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18" fillId="16" borderId="0" xfId="41" applyFont="1" applyFill="1" applyBorder="1" applyProtection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64" fontId="1" fillId="16" borderId="0" xfId="37" applyNumberFormat="1" applyFont="1" applyFill="1" applyProtection="1"/>
    <xf numFmtId="9" fontId="2" fillId="16" borderId="0" xfId="37" applyNumberFormat="1" applyFont="1" applyFill="1" applyProtection="1"/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0" fontId="0" fillId="0" borderId="0" xfId="0" applyProtection="1"/>
    <xf numFmtId="0" fontId="79" fillId="18" borderId="0" xfId="37" applyFont="1" applyFill="1" applyBorder="1" applyProtection="1"/>
    <xf numFmtId="169" fontId="79" fillId="18" borderId="0" xfId="37" applyNumberFormat="1" applyFont="1" applyFill="1" applyBorder="1" applyProtection="1"/>
    <xf numFmtId="0" fontId="75" fillId="18" borderId="0" xfId="37" applyFont="1" applyFill="1" applyBorder="1" applyProtection="1"/>
    <xf numFmtId="9" fontId="75" fillId="18" borderId="0" xfId="37" applyNumberFormat="1" applyFont="1" applyFill="1" applyBorder="1" applyAlignment="1" applyProtection="1">
      <alignment horizontal="center"/>
    </xf>
    <xf numFmtId="164" fontId="79" fillId="18" borderId="0" xfId="37" applyNumberFormat="1" applyFont="1" applyFill="1" applyBorder="1" applyProtection="1"/>
    <xf numFmtId="0" fontId="79" fillId="18" borderId="0" xfId="37" applyFont="1" applyFill="1" applyBorder="1" applyAlignment="1" applyProtection="1">
      <alignment horizontal="right"/>
    </xf>
    <xf numFmtId="10" fontId="2" fillId="17" borderId="0" xfId="37" applyNumberFormat="1" applyFont="1" applyFill="1" applyAlignment="1" applyProtection="1">
      <alignment horizontal="right"/>
      <protection locked="0"/>
    </xf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10" fontId="2" fillId="0" borderId="26" xfId="28" applyNumberFormat="1" applyFont="1" applyFill="1" applyBorder="1" applyAlignment="1" applyProtection="1">
      <alignment horizontal="right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18" fillId="16" borderId="0" xfId="41" applyFont="1" applyFill="1" applyBorder="1" applyProtection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64" fontId="1" fillId="16" borderId="0" xfId="37" applyNumberFormat="1" applyFont="1" applyFill="1" applyProtection="1"/>
    <xf numFmtId="9" fontId="2" fillId="16" borderId="0" xfId="37" applyNumberFormat="1" applyFont="1" applyFill="1" applyProtection="1"/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0" fontId="79" fillId="18" borderId="0" xfId="37" applyFont="1" applyFill="1" applyBorder="1" applyProtection="1"/>
    <xf numFmtId="169" fontId="79" fillId="18" borderId="0" xfId="37" applyNumberFormat="1" applyFont="1" applyFill="1" applyBorder="1" applyProtection="1"/>
    <xf numFmtId="0" fontId="75" fillId="18" borderId="0" xfId="37" applyFont="1" applyFill="1" applyBorder="1" applyProtection="1"/>
    <xf numFmtId="9" fontId="75" fillId="18" borderId="0" xfId="37" applyNumberFormat="1" applyFont="1" applyFill="1" applyBorder="1" applyAlignment="1" applyProtection="1">
      <alignment horizontal="center"/>
    </xf>
    <xf numFmtId="164" fontId="79" fillId="18" borderId="0" xfId="37" applyNumberFormat="1" applyFont="1" applyFill="1" applyBorder="1" applyProtection="1"/>
    <xf numFmtId="0" fontId="79" fillId="18" borderId="0" xfId="37" applyFont="1" applyFill="1" applyBorder="1" applyAlignment="1" applyProtection="1">
      <alignment horizontal="right"/>
    </xf>
    <xf numFmtId="10" fontId="2" fillId="17" borderId="0" xfId="37" applyNumberFormat="1" applyFont="1" applyFill="1" applyAlignment="1" applyProtection="1">
      <alignment horizontal="right"/>
      <protection locked="0"/>
    </xf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 applyBorder="1" applyProtection="1"/>
    <xf numFmtId="169" fontId="76" fillId="0" borderId="0" xfId="38" applyNumberFormat="1" applyFont="1" applyFill="1" applyBorder="1" applyAlignment="1" applyProtection="1">
      <alignment horizontal="left"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64" fontId="1" fillId="16" borderId="0" xfId="37" applyNumberFormat="1" applyFont="1" applyFill="1" applyProtection="1"/>
    <xf numFmtId="9" fontId="2" fillId="16" borderId="0" xfId="37" applyNumberFormat="1" applyFont="1" applyFill="1" applyProtection="1"/>
    <xf numFmtId="1" fontId="3" fillId="17" borderId="5" xfId="12" applyNumberFormat="1" applyFont="1" applyFill="1" applyBorder="1" applyAlignment="1" applyProtection="1">
      <alignment horizontal="center" vertical="center"/>
      <protection locked="0"/>
    </xf>
    <xf numFmtId="0" fontId="79" fillId="18" borderId="0" xfId="37" applyFont="1" applyFill="1" applyBorder="1" applyProtection="1"/>
    <xf numFmtId="169" fontId="79" fillId="18" borderId="0" xfId="37" applyNumberFormat="1" applyFont="1" applyFill="1" applyBorder="1" applyProtection="1"/>
    <xf numFmtId="0" fontId="75" fillId="18" borderId="0" xfId="37" applyFont="1" applyFill="1" applyBorder="1" applyProtection="1"/>
    <xf numFmtId="9" fontId="75" fillId="18" borderId="0" xfId="37" applyNumberFormat="1" applyFont="1" applyFill="1" applyBorder="1" applyAlignment="1" applyProtection="1">
      <alignment horizontal="center"/>
    </xf>
    <xf numFmtId="164" fontId="79" fillId="18" borderId="0" xfId="37" applyNumberFormat="1" applyFont="1" applyFill="1" applyBorder="1" applyProtection="1"/>
    <xf numFmtId="0" fontId="79" fillId="18" borderId="0" xfId="37" applyFont="1" applyFill="1" applyBorder="1" applyAlignment="1" applyProtection="1">
      <alignment horizontal="right"/>
    </xf>
    <xf numFmtId="10" fontId="2" fillId="17" borderId="0" xfId="37" applyNumberFormat="1" applyFont="1" applyFill="1" applyAlignment="1" applyProtection="1">
      <alignment horizontal="right"/>
      <protection locked="0"/>
    </xf>
    <xf numFmtId="177" fontId="8" fillId="17" borderId="26" xfId="41" applyNumberFormat="1" applyFont="1" applyFill="1" applyBorder="1" applyProtection="1"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9" fillId="16" borderId="0" xfId="41" applyFont="1" applyFill="1" applyBorder="1" applyAlignment="1" applyProtection="1">
      <alignment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49" fontId="5" fillId="0" borderId="0" xfId="41" applyNumberFormat="1" applyFont="1" applyFill="1" applyBorder="1" applyAlignment="1" applyProtection="1">
      <alignment horizontal="center"/>
    </xf>
    <xf numFmtId="0" fontId="9" fillId="0" borderId="4" xfId="41" applyFont="1" applyFill="1" applyBorder="1" applyAlignment="1" applyProtection="1">
      <alignment vertical="center"/>
    </xf>
    <xf numFmtId="0" fontId="13" fillId="0" borderId="0" xfId="41" applyFont="1" applyFill="1" applyBorder="1" applyAlignment="1" applyProtection="1"/>
    <xf numFmtId="3" fontId="8" fillId="0" borderId="0" xfId="41" applyNumberFormat="1" applyFont="1" applyFill="1" applyBorder="1" applyAlignment="1" applyProtection="1">
      <alignment vertical="center"/>
    </xf>
    <xf numFmtId="0" fontId="23" fillId="0" borderId="0" xfId="38" applyFont="1" applyBorder="1" applyAlignment="1" applyProtection="1">
      <alignment vertical="center"/>
    </xf>
    <xf numFmtId="0" fontId="84" fillId="0" borderId="0" xfId="38" applyFont="1" applyBorder="1" applyAlignment="1" applyProtection="1">
      <alignment vertical="center"/>
    </xf>
    <xf numFmtId="10" fontId="86" fillId="0" borderId="0" xfId="38" applyNumberFormat="1" applyFont="1" applyFill="1" applyBorder="1" applyAlignment="1" applyProtection="1">
      <alignment horizontal="right" vertical="center"/>
      <protection locked="0"/>
    </xf>
    <xf numFmtId="10" fontId="2" fillId="0" borderId="0" xfId="38" applyNumberFormat="1" applyFont="1" applyFill="1" applyBorder="1" applyAlignment="1" applyProtection="1">
      <alignment vertical="center"/>
      <protection locked="0"/>
    </xf>
    <xf numFmtId="49" fontId="5" fillId="0" borderId="27" xfId="41" applyNumberFormat="1" applyFont="1" applyFill="1" applyBorder="1" applyAlignment="1" applyProtection="1">
      <alignment horizontal="center"/>
    </xf>
    <xf numFmtId="168" fontId="5" fillId="0" borderId="27" xfId="41" applyNumberFormat="1" applyFont="1" applyFill="1" applyBorder="1" applyAlignment="1" applyProtection="1">
      <alignment horizontal="left"/>
    </xf>
    <xf numFmtId="0" fontId="5" fillId="0" borderId="27" xfId="41" applyFont="1" applyFill="1" applyBorder="1" applyProtection="1"/>
    <xf numFmtId="10" fontId="23" fillId="17" borderId="25" xfId="38" applyNumberFormat="1" applyFont="1" applyFill="1" applyBorder="1" applyAlignment="1" applyProtection="1">
      <alignment horizontal="right" vertical="center"/>
      <protection locked="0"/>
    </xf>
    <xf numFmtId="10" fontId="23" fillId="17" borderId="0" xfId="38" applyNumberFormat="1" applyFont="1" applyFill="1" applyBorder="1" applyAlignment="1" applyProtection="1">
      <alignment vertical="center"/>
      <protection locked="0"/>
    </xf>
    <xf numFmtId="10" fontId="23" fillId="17" borderId="4" xfId="38" applyNumberFormat="1" applyFont="1" applyFill="1" applyBorder="1" applyAlignment="1" applyProtection="1">
      <alignment vertical="center"/>
      <protection locked="0"/>
    </xf>
    <xf numFmtId="10" fontId="16" fillId="0" borderId="0" xfId="41" applyNumberFormat="1" applyFont="1" applyBorder="1" applyAlignment="1" applyProtection="1">
      <alignment wrapText="1"/>
    </xf>
    <xf numFmtId="0" fontId="8" fillId="0" borderId="4" xfId="41" applyFont="1" applyFill="1" applyBorder="1" applyAlignment="1" applyProtection="1">
      <alignment vertical="center"/>
    </xf>
    <xf numFmtId="0" fontId="8" fillId="0" borderId="5" xfId="41" applyFont="1" applyFill="1" applyBorder="1" applyAlignment="1" applyProtection="1">
      <alignment vertical="center"/>
    </xf>
    <xf numFmtId="10" fontId="23" fillId="17" borderId="21" xfId="38" applyNumberFormat="1" applyFont="1" applyFill="1" applyBorder="1" applyAlignment="1" applyProtection="1">
      <alignment horizontal="right" vertical="center"/>
      <protection locked="0"/>
    </xf>
    <xf numFmtId="164" fontId="2" fillId="0" borderId="0" xfId="37" applyNumberFormat="1" applyFont="1" applyFill="1" applyAlignment="1" applyProtection="1"/>
    <xf numFmtId="164" fontId="23" fillId="0" borderId="0" xfId="37" applyNumberFormat="1" applyFont="1" applyFill="1" applyAlignment="1" applyProtection="1"/>
    <xf numFmtId="164" fontId="23" fillId="0" borderId="4" xfId="37" applyNumberFormat="1" applyFont="1" applyFill="1" applyBorder="1" applyAlignment="1" applyProtection="1"/>
    <xf numFmtId="173" fontId="5" fillId="0" borderId="17" xfId="41" applyNumberFormat="1" applyFont="1" applyFill="1" applyBorder="1" applyAlignment="1" applyProtection="1">
      <alignment horizontal="right" vertical="center"/>
    </xf>
    <xf numFmtId="9" fontId="5" fillId="16" borderId="21" xfId="41" applyNumberFormat="1" applyFont="1" applyFill="1" applyBorder="1" applyAlignment="1" applyProtection="1">
      <alignment horizontal="right"/>
      <protection locked="0"/>
    </xf>
    <xf numFmtId="164" fontId="1" fillId="0" borderId="0" xfId="37" applyNumberFormat="1" applyFont="1" applyFill="1" applyAlignment="1" applyProtection="1"/>
    <xf numFmtId="164" fontId="2" fillId="0" borderId="7" xfId="37" applyNumberFormat="1" applyFont="1" applyFill="1" applyBorder="1" applyAlignment="1" applyProtection="1"/>
    <xf numFmtId="10" fontId="85" fillId="0" borderId="0" xfId="28" applyNumberFormat="1" applyFont="1" applyFill="1" applyBorder="1" applyAlignment="1" applyProtection="1">
      <alignment horizontal="right" vertical="center"/>
    </xf>
    <xf numFmtId="10" fontId="23" fillId="0" borderId="0" xfId="38" applyNumberFormat="1" applyFont="1" applyFill="1" applyBorder="1" applyAlignment="1" applyProtection="1">
      <alignment horizontal="right" vertical="center"/>
    </xf>
    <xf numFmtId="164" fontId="23" fillId="0" borderId="0" xfId="37" applyNumberFormat="1" applyFont="1" applyFill="1" applyBorder="1" applyAlignment="1" applyProtection="1"/>
    <xf numFmtId="0" fontId="3" fillId="0" borderId="0" xfId="12" applyFont="1" applyFill="1" applyBorder="1" applyAlignment="1" applyProtection="1">
      <alignment horizontal="center" vertical="center"/>
    </xf>
    <xf numFmtId="9" fontId="75" fillId="0" borderId="0" xfId="37" applyNumberFormat="1" applyFont="1" applyFill="1" applyBorder="1" applyAlignment="1" applyProtection="1">
      <alignment horizontal="center"/>
    </xf>
    <xf numFmtId="3" fontId="16" fillId="0" borderId="0" xfId="41" applyNumberFormat="1" applyFont="1" applyFill="1" applyBorder="1" applyProtection="1"/>
    <xf numFmtId="10" fontId="83" fillId="0" borderId="7" xfId="38" applyNumberFormat="1" applyFont="1" applyFill="1" applyBorder="1" applyAlignment="1" applyProtection="1">
      <alignment horizontal="right" vertical="center"/>
    </xf>
    <xf numFmtId="164" fontId="2" fillId="0" borderId="0" xfId="37" applyNumberFormat="1" applyFont="1" applyBorder="1" applyAlignment="1" applyProtection="1"/>
    <xf numFmtId="10" fontId="23" fillId="17" borderId="21" xfId="38" applyNumberFormat="1" applyFont="1" applyFill="1" applyBorder="1" applyAlignment="1" applyProtection="1">
      <alignment vertical="center"/>
      <protection locked="0"/>
    </xf>
    <xf numFmtId="10" fontId="23" fillId="17" borderId="25" xfId="38" applyNumberFormat="1" applyFont="1" applyFill="1" applyBorder="1" applyAlignment="1" applyProtection="1">
      <alignment vertical="center"/>
      <protection locked="0"/>
    </xf>
    <xf numFmtId="9" fontId="5" fillId="0" borderId="20" xfId="41" applyNumberFormat="1" applyFont="1" applyBorder="1" applyAlignment="1" applyProtection="1">
      <alignment horizontal="right"/>
    </xf>
    <xf numFmtId="10" fontId="2" fillId="0" borderId="28" xfId="38" applyNumberFormat="1" applyFont="1" applyFill="1" applyBorder="1" applyAlignment="1" applyProtection="1">
      <alignment horizontal="right" vertical="center"/>
      <protection locked="0"/>
    </xf>
    <xf numFmtId="10" fontId="83" fillId="0" borderId="0" xfId="38" applyNumberFormat="1" applyFont="1" applyFill="1" applyBorder="1" applyAlignment="1" applyProtection="1">
      <alignment horizontal="right"/>
    </xf>
    <xf numFmtId="164" fontId="2" fillId="0" borderId="0" xfId="37" applyNumberFormat="1" applyFont="1" applyFill="1" applyBorder="1" applyAlignment="1" applyProtection="1"/>
    <xf numFmtId="171" fontId="19" fillId="0" borderId="0" xfId="37" applyNumberFormat="1" applyFont="1" applyFill="1" applyProtection="1"/>
    <xf numFmtId="10" fontId="83" fillId="19" borderId="0" xfId="38" applyNumberFormat="1" applyFont="1" applyFill="1" applyBorder="1" applyAlignment="1" applyProtection="1">
      <alignment horizontal="right" vertical="center"/>
      <protection locked="0"/>
    </xf>
    <xf numFmtId="178" fontId="2" fillId="0" borderId="0" xfId="38" applyNumberFormat="1" applyFont="1" applyFill="1" applyAlignment="1" applyProtection="1">
      <alignment horizontal="right" vertical="center"/>
      <protection locked="0"/>
    </xf>
    <xf numFmtId="0" fontId="5" fillId="0" borderId="7" xfId="41" applyFont="1" applyFill="1" applyBorder="1" applyAlignment="1" applyProtection="1"/>
    <xf numFmtId="184" fontId="2" fillId="17" borderId="22" xfId="38" applyNumberFormat="1" applyFont="1" applyFill="1" applyBorder="1" applyAlignment="1" applyProtection="1">
      <alignment vertical="center"/>
      <protection locked="0"/>
    </xf>
    <xf numFmtId="184" fontId="27" fillId="17" borderId="22" xfId="38" applyNumberFormat="1" applyFont="1" applyFill="1" applyBorder="1" applyAlignment="1" applyProtection="1">
      <alignment vertical="center"/>
      <protection locked="0"/>
    </xf>
    <xf numFmtId="184" fontId="2" fillId="0" borderId="22" xfId="38" applyNumberFormat="1" applyFont="1" applyFill="1" applyBorder="1" applyAlignment="1" applyProtection="1">
      <alignment vertical="center"/>
      <protection locked="0"/>
    </xf>
    <xf numFmtId="184" fontId="23" fillId="0" borderId="22" xfId="38" applyNumberFormat="1" applyFont="1" applyFill="1" applyBorder="1" applyAlignment="1" applyProtection="1">
      <alignment vertical="center"/>
      <protection locked="0"/>
    </xf>
    <xf numFmtId="184" fontId="8" fillId="0" borderId="7" xfId="38" applyNumberFormat="1" applyFont="1" applyFill="1" applyBorder="1" applyAlignment="1" applyProtection="1"/>
    <xf numFmtId="184" fontId="8" fillId="17" borderId="7" xfId="38" applyNumberFormat="1" applyFont="1" applyFill="1" applyBorder="1" applyAlignment="1" applyProtection="1">
      <alignment vertical="center"/>
      <protection locked="0"/>
    </xf>
    <xf numFmtId="0" fontId="6" fillId="0" borderId="0" xfId="41" applyFont="1" applyFill="1" applyAlignment="1" applyProtection="1">
      <alignment vertical="top"/>
    </xf>
    <xf numFmtId="164" fontId="8" fillId="0" borderId="0" xfId="37" applyNumberFormat="1" applyFont="1" applyFill="1" applyBorder="1" applyAlignment="1" applyProtection="1"/>
    <xf numFmtId="184" fontId="8" fillId="0" borderId="0" xfId="38" applyNumberFormat="1" applyFont="1" applyFill="1" applyBorder="1" applyAlignment="1" applyProtection="1"/>
    <xf numFmtId="164" fontId="9" fillId="0" borderId="27" xfId="41" applyNumberFormat="1" applyFont="1" applyFill="1" applyBorder="1" applyAlignment="1" applyProtection="1"/>
    <xf numFmtId="0" fontId="2" fillId="0" borderId="0" xfId="37" applyFont="1" applyFill="1" applyAlignment="1" applyProtection="1">
      <alignment horizontal="right"/>
    </xf>
    <xf numFmtId="9" fontId="6" fillId="0" borderId="28" xfId="41" applyNumberFormat="1" applyFont="1" applyBorder="1" applyAlignment="1" applyProtection="1">
      <alignment horizontal="right"/>
    </xf>
    <xf numFmtId="9" fontId="5" fillId="0" borderId="28" xfId="41" applyNumberFormat="1" applyFont="1" applyBorder="1" applyAlignment="1" applyProtection="1">
      <alignment horizontal="right"/>
    </xf>
    <xf numFmtId="9" fontId="5" fillId="0" borderId="28" xfId="41" applyNumberFormat="1" applyFont="1" applyFill="1" applyBorder="1" applyAlignment="1" applyProtection="1">
      <alignment horizontal="right"/>
    </xf>
    <xf numFmtId="9" fontId="5" fillId="0" borderId="20" xfId="41" applyNumberFormat="1" applyFont="1" applyFill="1" applyBorder="1" applyAlignment="1" applyProtection="1">
      <alignment horizontal="right"/>
    </xf>
    <xf numFmtId="10" fontId="2" fillId="0" borderId="0" xfId="38" applyNumberFormat="1" applyFont="1" applyFill="1" applyBorder="1" applyAlignment="1" applyProtection="1">
      <alignment horizontal="right" vertical="center"/>
      <protection locked="0"/>
    </xf>
    <xf numFmtId="164" fontId="2" fillId="0" borderId="20" xfId="37" applyNumberFormat="1" applyFont="1" applyFill="1" applyBorder="1" applyAlignment="1" applyProtection="1"/>
    <xf numFmtId="164" fontId="23" fillId="0" borderId="21" xfId="37" applyNumberFormat="1" applyFont="1" applyFill="1" applyBorder="1" applyAlignment="1" applyProtection="1"/>
    <xf numFmtId="1" fontId="9" fillId="16" borderId="0" xfId="41" applyNumberFormat="1" applyFont="1" applyFill="1" applyBorder="1" applyAlignment="1" applyProtection="1">
      <alignment horizontal="lef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164" fontId="9" fillId="0" borderId="0" xfId="41" applyNumberFormat="1" applyFont="1" applyFill="1" applyBorder="1" applyAlignment="1" applyProtection="1"/>
    <xf numFmtId="167" fontId="9" fillId="0" borderId="0" xfId="41" applyNumberFormat="1" applyFont="1" applyFill="1" applyBorder="1" applyAlignment="1" applyProtection="1">
      <alignment horizontal="left" vertical="center"/>
    </xf>
    <xf numFmtId="0" fontId="9" fillId="0" borderId="0" xfId="41" applyFont="1" applyFill="1" applyBorder="1" applyAlignment="1" applyProtection="1">
      <alignment vertical="center"/>
    </xf>
    <xf numFmtId="9" fontId="5" fillId="0" borderId="0" xfId="41" applyNumberFormat="1" applyFont="1" applyFill="1" applyBorder="1" applyAlignment="1" applyProtection="1">
      <alignment horizontal="right"/>
      <protection locked="0"/>
    </xf>
    <xf numFmtId="177" fontId="8" fillId="0" borderId="0" xfId="41" applyNumberFormat="1" applyFont="1" applyFill="1" applyBorder="1" applyProtection="1">
      <protection locked="0"/>
    </xf>
    <xf numFmtId="178" fontId="2" fillId="0" borderId="0" xfId="38" applyNumberFormat="1" applyFont="1" applyFill="1" applyBorder="1" applyAlignment="1" applyProtection="1">
      <alignment horizontal="right" vertical="center"/>
      <protection locked="0"/>
    </xf>
    <xf numFmtId="0" fontId="25" fillId="0" borderId="0" xfId="41" applyFont="1" applyFill="1" applyBorder="1" applyAlignment="1" applyProtection="1">
      <alignment vertical="center"/>
    </xf>
    <xf numFmtId="0" fontId="8" fillId="0" borderId="0" xfId="41" applyFont="1" applyFill="1" applyBorder="1" applyAlignment="1" applyProtection="1">
      <alignment horizontal="right" vertical="center"/>
    </xf>
    <xf numFmtId="167" fontId="8" fillId="0" borderId="0" xfId="41" applyNumberFormat="1" applyFont="1" applyFill="1" applyBorder="1" applyAlignment="1" applyProtection="1">
      <alignment horizontal="left" vertical="center"/>
    </xf>
    <xf numFmtId="0" fontId="8" fillId="0" borderId="17" xfId="41" applyFont="1" applyFill="1" applyBorder="1" applyAlignment="1" applyProtection="1">
      <alignment vertical="center"/>
    </xf>
    <xf numFmtId="177" fontId="8" fillId="0" borderId="17" xfId="41" applyNumberFormat="1" applyFont="1" applyFill="1" applyBorder="1" applyProtection="1">
      <protection locked="0"/>
    </xf>
    <xf numFmtId="178" fontId="2" fillId="0" borderId="17" xfId="38" applyNumberFormat="1" applyFont="1" applyFill="1" applyBorder="1" applyAlignment="1" applyProtection="1">
      <alignment horizontal="right" vertical="center"/>
      <protection locked="0"/>
    </xf>
    <xf numFmtId="0" fontId="25" fillId="0" borderId="31" xfId="41" applyFont="1" applyFill="1" applyBorder="1" applyAlignment="1" applyProtection="1">
      <alignment vertical="center"/>
    </xf>
    <xf numFmtId="173" fontId="5" fillId="0" borderId="31" xfId="41" applyNumberFormat="1" applyFont="1" applyFill="1" applyBorder="1" applyAlignment="1" applyProtection="1">
      <alignment horizontal="right" vertical="center"/>
    </xf>
    <xf numFmtId="177" fontId="8" fillId="0" borderId="31" xfId="41" applyNumberFormat="1" applyFont="1" applyFill="1" applyBorder="1" applyProtection="1">
      <protection locked="0"/>
    </xf>
    <xf numFmtId="178" fontId="2" fillId="0" borderId="31" xfId="38" applyNumberFormat="1" applyFont="1" applyFill="1" applyBorder="1" applyAlignment="1" applyProtection="1">
      <alignment horizontal="right" vertical="center"/>
      <protection locked="0"/>
    </xf>
    <xf numFmtId="0" fontId="8" fillId="0" borderId="30" xfId="41" applyFont="1" applyFill="1" applyBorder="1" applyAlignment="1" applyProtection="1">
      <alignment vertical="center"/>
    </xf>
    <xf numFmtId="173" fontId="5" fillId="0" borderId="30" xfId="41" applyNumberFormat="1" applyFont="1" applyFill="1" applyBorder="1" applyAlignment="1" applyProtection="1">
      <alignment horizontal="right" vertical="center"/>
    </xf>
    <xf numFmtId="177" fontId="8" fillId="0" borderId="30" xfId="41" applyNumberFormat="1" applyFont="1" applyFill="1" applyBorder="1" applyProtection="1">
      <protection locked="0"/>
    </xf>
    <xf numFmtId="178" fontId="2" fillId="0" borderId="30" xfId="38" applyNumberFormat="1" applyFont="1" applyFill="1" applyBorder="1" applyAlignment="1" applyProtection="1">
      <alignment horizontal="right" vertical="center"/>
      <protection locked="0"/>
    </xf>
    <xf numFmtId="0" fontId="88" fillId="0" borderId="0" xfId="0" applyFont="1" applyProtection="1"/>
    <xf numFmtId="0" fontId="8" fillId="0" borderId="31" xfId="41" applyFont="1" applyFill="1" applyBorder="1" applyAlignment="1" applyProtection="1">
      <alignment vertical="center"/>
    </xf>
    <xf numFmtId="0" fontId="8" fillId="0" borderId="18" xfId="41" applyFont="1" applyFill="1" applyBorder="1" applyAlignment="1" applyProtection="1">
      <alignment vertical="center"/>
    </xf>
    <xf numFmtId="173" fontId="5" fillId="0" borderId="18" xfId="41" applyNumberFormat="1" applyFont="1" applyFill="1" applyBorder="1" applyAlignment="1" applyProtection="1">
      <alignment horizontal="right" vertical="center"/>
    </xf>
    <xf numFmtId="177" fontId="8" fillId="0" borderId="18" xfId="41" applyNumberFormat="1" applyFont="1" applyFill="1" applyBorder="1" applyProtection="1">
      <protection locked="0"/>
    </xf>
    <xf numFmtId="178" fontId="2" fillId="0" borderId="18" xfId="38" applyNumberFormat="1" applyFont="1" applyFill="1" applyBorder="1" applyAlignment="1" applyProtection="1">
      <alignment horizontal="right" vertical="center"/>
      <protection locked="0"/>
    </xf>
    <xf numFmtId="0" fontId="89" fillId="0" borderId="0" xfId="0" applyFont="1" applyFill="1" applyBorder="1"/>
    <xf numFmtId="0" fontId="89" fillId="0" borderId="0" xfId="0" applyFont="1" applyProtection="1"/>
    <xf numFmtId="0" fontId="89" fillId="0" borderId="0" xfId="0" applyFont="1" applyBorder="1" applyProtection="1"/>
    <xf numFmtId="0" fontId="90" fillId="0" borderId="0" xfId="0" applyFont="1" applyFill="1" applyBorder="1"/>
    <xf numFmtId="10" fontId="28" fillId="0" borderId="0" xfId="41" applyNumberFormat="1" applyFont="1" applyFill="1" applyAlignment="1" applyProtection="1">
      <alignment wrapText="1"/>
      <protection locked="0"/>
    </xf>
    <xf numFmtId="10" fontId="82" fillId="0" borderId="0" xfId="41" applyNumberFormat="1" applyFont="1" applyFill="1" applyAlignment="1" applyProtection="1">
      <alignment wrapText="1"/>
      <protection locked="0"/>
    </xf>
    <xf numFmtId="0" fontId="6" fillId="0" borderId="4" xfId="41" applyFont="1" applyFill="1" applyBorder="1" applyProtection="1"/>
    <xf numFmtId="173" fontId="5" fillId="0" borderId="4" xfId="41" applyNumberFormat="1" applyFont="1" applyFill="1" applyBorder="1" applyAlignment="1" applyProtection="1">
      <alignment horizontal="right" vertical="center"/>
    </xf>
    <xf numFmtId="164" fontId="9" fillId="0" borderId="4" xfId="41" applyNumberFormat="1" applyFont="1" applyFill="1" applyBorder="1" applyAlignment="1" applyProtection="1"/>
    <xf numFmtId="0" fontId="6" fillId="0" borderId="4" xfId="41" applyFont="1" applyFill="1" applyBorder="1" applyAlignment="1" applyProtection="1"/>
    <xf numFmtId="0" fontId="6" fillId="0" borderId="0" xfId="41" applyFont="1" applyFill="1" applyBorder="1" applyAlignment="1" applyProtection="1"/>
    <xf numFmtId="0" fontId="5" fillId="0" borderId="0" xfId="41" applyFont="1" applyFill="1" applyAlignment="1" applyProtection="1"/>
    <xf numFmtId="164" fontId="1" fillId="16" borderId="0" xfId="37" applyNumberFormat="1" applyFont="1" applyFill="1" applyAlignment="1" applyProtection="1"/>
    <xf numFmtId="3" fontId="5" fillId="0" borderId="0" xfId="41" applyNumberFormat="1" applyFont="1" applyAlignment="1" applyProtection="1"/>
    <xf numFmtId="1" fontId="9" fillId="16" borderId="0" xfId="41" applyNumberFormat="1" applyFont="1" applyFill="1" applyBorder="1" applyAlignment="1" applyProtection="1"/>
    <xf numFmtId="9" fontId="2" fillId="0" borderId="0" xfId="37" applyNumberFormat="1" applyFont="1" applyAlignment="1" applyProtection="1"/>
    <xf numFmtId="164" fontId="23" fillId="0" borderId="0" xfId="37" applyNumberFormat="1" applyFont="1" applyBorder="1" applyAlignment="1" applyProtection="1"/>
    <xf numFmtId="164" fontId="23" fillId="0" borderId="4" xfId="37" applyNumberFormat="1" applyFont="1" applyBorder="1" applyAlignment="1" applyProtection="1"/>
    <xf numFmtId="164" fontId="23" fillId="0" borderId="20" xfId="37" applyNumberFormat="1" applyFont="1" applyFill="1" applyBorder="1" applyAlignment="1" applyProtection="1"/>
    <xf numFmtId="1" fontId="9" fillId="16" borderId="0" xfId="41" applyNumberFormat="1" applyFont="1" applyFill="1" applyBorder="1" applyAlignment="1" applyProtection="1">
      <alignment horizontal="left" vertical="center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73" fontId="5" fillId="0" borderId="17" xfId="41" applyNumberFormat="1" applyFont="1" applyFill="1" applyBorder="1" applyAlignment="1" applyProtection="1">
      <alignment horizontal="right" vertical="center"/>
    </xf>
    <xf numFmtId="1" fontId="5" fillId="0" borderId="31" xfId="41" applyNumberFormat="1" applyFont="1" applyFill="1" applyBorder="1" applyAlignment="1" applyProtection="1">
      <alignment horizontal="left"/>
    </xf>
    <xf numFmtId="0" fontId="91" fillId="0" borderId="0" xfId="41" applyFont="1" applyBorder="1" applyAlignment="1" applyProtection="1">
      <alignment horizontal="left" vertical="center"/>
    </xf>
    <xf numFmtId="164" fontId="8" fillId="16" borderId="28" xfId="41" applyNumberFormat="1" applyFont="1" applyFill="1" applyBorder="1" applyAlignment="1" applyProtection="1"/>
    <xf numFmtId="1" fontId="9" fillId="16" borderId="0" xfId="41" applyNumberFormat="1" applyFont="1" applyFill="1" applyBorder="1" applyAlignment="1" applyProtection="1">
      <alignment horizontal="lef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9" fontId="5" fillId="20" borderId="20" xfId="41" applyNumberFormat="1" applyFont="1" applyFill="1" applyBorder="1" applyAlignment="1" applyProtection="1">
      <alignment horizontal="right"/>
      <protection locked="0"/>
    </xf>
    <xf numFmtId="1" fontId="3" fillId="20" borderId="4" xfId="12" applyNumberFormat="1" applyFont="1" applyFill="1" applyBorder="1" applyAlignment="1" applyProtection="1">
      <alignment horizontal="center" vertical="center"/>
      <protection locked="0"/>
    </xf>
    <xf numFmtId="1" fontId="3" fillId="20" borderId="5" xfId="12" applyNumberFormat="1" applyFont="1" applyFill="1" applyBorder="1" applyAlignment="1" applyProtection="1">
      <alignment horizontal="center" vertical="center"/>
      <protection locked="0"/>
    </xf>
    <xf numFmtId="10" fontId="2" fillId="20" borderId="0" xfId="38" applyNumberFormat="1" applyFont="1" applyFill="1" applyBorder="1" applyAlignment="1" applyProtection="1">
      <alignment vertical="center"/>
      <protection locked="0"/>
    </xf>
    <xf numFmtId="10" fontId="23" fillId="20" borderId="0" xfId="38" applyNumberFormat="1" applyFont="1" applyFill="1" applyBorder="1" applyAlignment="1" applyProtection="1">
      <alignment vertical="center"/>
      <protection locked="0"/>
    </xf>
    <xf numFmtId="10" fontId="23" fillId="20" borderId="4" xfId="38" applyNumberFormat="1" applyFont="1" applyFill="1" applyBorder="1" applyAlignment="1" applyProtection="1">
      <alignment vertical="center"/>
      <protection locked="0"/>
    </xf>
    <xf numFmtId="177" fontId="8" fillId="20" borderId="26" xfId="41" applyNumberFormat="1" applyFont="1" applyFill="1" applyBorder="1" applyAlignment="1" applyProtection="1">
      <alignment horizontal="right"/>
      <protection locked="0"/>
    </xf>
    <xf numFmtId="10" fontId="2" fillId="20" borderId="0" xfId="37" applyNumberFormat="1" applyFont="1" applyFill="1" applyAlignment="1" applyProtection="1">
      <alignment horizontal="right"/>
      <protection locked="0"/>
    </xf>
    <xf numFmtId="177" fontId="8" fillId="20" borderId="26" xfId="41" applyNumberFormat="1" applyFont="1" applyFill="1" applyBorder="1" applyProtection="1">
      <protection locked="0"/>
    </xf>
    <xf numFmtId="44" fontId="13" fillId="0" borderId="0" xfId="41" applyNumberFormat="1" applyFont="1" applyFill="1" applyBorder="1" applyAlignment="1" applyProtection="1">
      <alignment vertical="center"/>
    </xf>
    <xf numFmtId="166" fontId="13" fillId="0" borderId="0" xfId="21" applyFont="1" applyFill="1" applyBorder="1" applyAlignment="1" applyProtection="1">
      <alignment vertical="center"/>
    </xf>
    <xf numFmtId="164" fontId="8" fillId="16" borderId="20" xfId="41" applyNumberFormat="1" applyFont="1" applyFill="1" applyBorder="1" applyAlignment="1" applyProtection="1"/>
    <xf numFmtId="10" fontId="5" fillId="0" borderId="17" xfId="28" applyNumberFormat="1" applyFont="1" applyFill="1" applyBorder="1" applyAlignment="1" applyProtection="1">
      <alignment horizontal="center" vertical="center"/>
    </xf>
    <xf numFmtId="3" fontId="36" fillId="0" borderId="0" xfId="41" applyNumberFormat="1" applyFont="1" applyAlignment="1" applyProtection="1">
      <alignment horizontal="right"/>
    </xf>
    <xf numFmtId="0" fontId="92" fillId="0" borderId="0" xfId="0" applyFont="1" applyFill="1" applyBorder="1"/>
    <xf numFmtId="0" fontId="93" fillId="0" borderId="32" xfId="0" applyFont="1" applyFill="1" applyBorder="1"/>
    <xf numFmtId="10" fontId="92" fillId="0" borderId="0" xfId="28" applyNumberFormat="1" applyFont="1" applyFill="1" applyBorder="1" applyAlignment="1" applyProtection="1">
      <alignment horizontal="right" vertical="center"/>
    </xf>
    <xf numFmtId="0" fontId="92" fillId="0" borderId="33" xfId="0" applyFont="1" applyFill="1" applyBorder="1"/>
    <xf numFmtId="0" fontId="92" fillId="0" borderId="34" xfId="0" applyFont="1" applyFill="1" applyBorder="1"/>
    <xf numFmtId="0" fontId="94" fillId="0" borderId="35" xfId="41" applyFont="1" applyFill="1" applyBorder="1" applyAlignment="1" applyProtection="1">
      <alignment horizontal="center" vertical="center"/>
    </xf>
    <xf numFmtId="0" fontId="13" fillId="0" borderId="35" xfId="41" applyFont="1" applyFill="1" applyBorder="1" applyAlignment="1" applyProtection="1">
      <alignment vertical="center"/>
    </xf>
    <xf numFmtId="3" fontId="95" fillId="0" borderId="0" xfId="41" applyNumberFormat="1" applyFont="1" applyFill="1" applyAlignment="1" applyProtection="1">
      <alignment horizontal="right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5" fillId="0" borderId="4" xfId="41" applyFont="1" applyFill="1" applyBorder="1" applyAlignment="1" applyProtection="1">
      <alignment horizontal="center" vertical="center"/>
    </xf>
    <xf numFmtId="0" fontId="92" fillId="0" borderId="0" xfId="0" applyFont="1" applyBorder="1" applyAlignment="1" applyProtection="1">
      <alignment vertical="top" wrapText="1"/>
    </xf>
    <xf numFmtId="0" fontId="92" fillId="0" borderId="33" xfId="0" applyFont="1" applyBorder="1" applyProtection="1"/>
    <xf numFmtId="0" fontId="92" fillId="0" borderId="34" xfId="0" applyFont="1" applyBorder="1" applyProtection="1"/>
    <xf numFmtId="164" fontId="8" fillId="20" borderId="20" xfId="37" applyNumberFormat="1" applyFont="1" applyFill="1" applyBorder="1" applyAlignment="1" applyProtection="1">
      <alignment vertical="center"/>
    </xf>
    <xf numFmtId="3" fontId="5" fillId="0" borderId="0" xfId="41" applyNumberFormat="1" applyFont="1" applyFill="1" applyAlignment="1" applyProtection="1">
      <alignment horizontal="left"/>
    </xf>
    <xf numFmtId="3" fontId="96" fillId="0" borderId="0" xfId="41" applyNumberFormat="1" applyFont="1" applyFill="1" applyBorder="1" applyAlignment="1" applyProtection="1"/>
    <xf numFmtId="3" fontId="97" fillId="0" borderId="0" xfId="41" applyNumberFormat="1" applyFont="1" applyFill="1" applyBorder="1" applyAlignment="1" applyProtection="1"/>
    <xf numFmtId="10" fontId="8" fillId="0" borderId="0" xfId="41" applyNumberFormat="1" applyFont="1" applyFill="1" applyBorder="1" applyAlignment="1" applyProtection="1">
      <alignment horizontal="right" vertical="center"/>
    </xf>
    <xf numFmtId="3" fontId="8" fillId="0" borderId="0" xfId="41" applyNumberFormat="1" applyFont="1" applyFill="1" applyBorder="1" applyAlignment="1" applyProtection="1">
      <alignment horizontal="center" vertical="center"/>
    </xf>
    <xf numFmtId="10" fontId="8" fillId="0" borderId="0" xfId="41" applyNumberFormat="1" applyFont="1" applyFill="1" applyBorder="1" applyAlignment="1" applyProtection="1">
      <alignment horizontal="center" vertical="center"/>
    </xf>
    <xf numFmtId="3" fontId="8" fillId="0" borderId="0" xfId="41" applyNumberFormat="1" applyFont="1" applyFill="1" applyBorder="1" applyAlignment="1" applyProtection="1">
      <alignment horizontal="right" vertical="center"/>
    </xf>
    <xf numFmtId="10" fontId="5" fillId="0" borderId="0" xfId="41" applyNumberFormat="1" applyFont="1" applyFill="1" applyBorder="1" applyAlignment="1" applyProtection="1">
      <alignment horizontal="right" vertical="center"/>
    </xf>
    <xf numFmtId="3" fontId="5" fillId="0" borderId="0" xfId="41" applyNumberFormat="1" applyFont="1" applyFill="1" applyBorder="1" applyAlignment="1" applyProtection="1">
      <alignment horizontal="center" vertical="center"/>
    </xf>
    <xf numFmtId="175" fontId="5" fillId="16" borderId="4" xfId="41" applyNumberFormat="1" applyFont="1" applyFill="1" applyBorder="1" applyAlignment="1" applyProtection="1">
      <alignment vertical="center"/>
    </xf>
    <xf numFmtId="0" fontId="5" fillId="0" borderId="5" xfId="41" applyFont="1" applyFill="1" applyBorder="1" applyAlignment="1" applyProtection="1">
      <alignment horizontal="center" vertical="center"/>
    </xf>
    <xf numFmtId="175" fontId="5" fillId="16" borderId="5" xfId="41" applyNumberFormat="1" applyFont="1" applyFill="1" applyBorder="1" applyAlignment="1" applyProtection="1">
      <alignment vertical="center"/>
    </xf>
    <xf numFmtId="0" fontId="3" fillId="0" borderId="7" xfId="12" applyFont="1" applyBorder="1" applyAlignment="1" applyProtection="1">
      <alignment horizontal="center" vertical="center"/>
    </xf>
    <xf numFmtId="175" fontId="5" fillId="16" borderId="0" xfId="41" applyNumberFormat="1" applyFont="1" applyFill="1" applyBorder="1" applyAlignment="1" applyProtection="1">
      <alignment vertical="center"/>
    </xf>
    <xf numFmtId="1" fontId="5" fillId="20" borderId="36" xfId="41" applyNumberFormat="1" applyFont="1" applyFill="1" applyBorder="1" applyAlignment="1" applyProtection="1">
      <alignment horizontal="center" vertical="center"/>
    </xf>
    <xf numFmtId="1" fontId="5" fillId="0" borderId="36" xfId="41" applyNumberFormat="1" applyFont="1" applyFill="1" applyBorder="1" applyAlignment="1" applyProtection="1">
      <alignment horizontal="center" vertical="center"/>
    </xf>
    <xf numFmtId="175" fontId="3" fillId="0" borderId="37" xfId="41" applyNumberFormat="1" applyFont="1" applyFill="1" applyBorder="1" applyAlignment="1" applyProtection="1">
      <alignment horizontal="center" vertical="center"/>
    </xf>
    <xf numFmtId="176" fontId="5" fillId="0" borderId="0" xfId="41" applyNumberFormat="1" applyFont="1" applyFill="1" applyBorder="1" applyAlignment="1" applyProtection="1">
      <alignment horizontal="right" vertical="center"/>
    </xf>
    <xf numFmtId="1" fontId="5" fillId="0" borderId="0" xfId="41" applyNumberFormat="1" applyFont="1" applyFill="1" applyBorder="1" applyAlignment="1" applyProtection="1">
      <alignment horizontal="center" vertical="center"/>
    </xf>
    <xf numFmtId="175" fontId="3" fillId="0" borderId="0" xfId="41" applyNumberFormat="1" applyFont="1" applyFill="1" applyBorder="1" applyAlignment="1" applyProtection="1">
      <alignment horizontal="center" vertical="center"/>
    </xf>
    <xf numFmtId="0" fontId="9" fillId="0" borderId="0" xfId="41" applyFont="1" applyFill="1" applyBorder="1" applyAlignment="1" applyProtection="1">
      <alignment horizontal="left"/>
    </xf>
    <xf numFmtId="0" fontId="9" fillId="0" borderId="0" xfId="41" applyFont="1" applyFill="1" applyBorder="1" applyAlignment="1" applyProtection="1"/>
    <xf numFmtId="175" fontId="5" fillId="16" borderId="36" xfId="41" applyNumberFormat="1" applyFont="1" applyFill="1" applyBorder="1" applyAlignment="1" applyProtection="1">
      <alignment horizontal="center" vertical="center"/>
    </xf>
    <xf numFmtId="175" fontId="3" fillId="0" borderId="36" xfId="41" applyNumberFormat="1" applyFont="1" applyFill="1" applyBorder="1" applyAlignment="1" applyProtection="1">
      <alignment horizontal="center" vertical="center"/>
    </xf>
    <xf numFmtId="176" fontId="5" fillId="16" borderId="0" xfId="41" applyNumberFormat="1" applyFont="1" applyFill="1" applyBorder="1" applyAlignment="1" applyProtection="1">
      <alignment horizontal="center" vertical="center"/>
    </xf>
    <xf numFmtId="3" fontId="5" fillId="16" borderId="0" xfId="41" applyNumberFormat="1" applyFont="1" applyFill="1" applyAlignment="1" applyProtection="1">
      <alignment horizontal="right"/>
    </xf>
    <xf numFmtId="4" fontId="5" fillId="16" borderId="0" xfId="41" applyNumberFormat="1" applyFont="1" applyFill="1" applyBorder="1" applyAlignment="1" applyProtection="1">
      <alignment horizontal="right" vertical="center"/>
    </xf>
    <xf numFmtId="3" fontId="5" fillId="16" borderId="0" xfId="41" applyNumberFormat="1" applyFont="1" applyFill="1" applyBorder="1" applyAlignment="1" applyProtection="1">
      <alignment horizontal="right" vertical="center"/>
    </xf>
    <xf numFmtId="0" fontId="14" fillId="0" borderId="0" xfId="41" applyFont="1" applyFill="1" applyProtection="1"/>
    <xf numFmtId="0" fontId="14" fillId="0" borderId="0" xfId="41" applyFont="1" applyFill="1" applyAlignment="1" applyProtection="1">
      <alignment horizontal="center"/>
    </xf>
    <xf numFmtId="0" fontId="14" fillId="0" borderId="0" xfId="41" applyFont="1" applyFill="1" applyBorder="1" applyAlignment="1" applyProtection="1">
      <alignment horizontal="center" vertical="center"/>
    </xf>
    <xf numFmtId="0" fontId="32" fillId="0" borderId="38" xfId="41" applyFont="1" applyFill="1" applyBorder="1" applyProtection="1"/>
    <xf numFmtId="10" fontId="2" fillId="0" borderId="38" xfId="38" applyNumberFormat="1" applyFont="1" applyFill="1" applyBorder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horizontal="right" vertical="center"/>
    </xf>
    <xf numFmtId="171" fontId="19" fillId="16" borderId="0" xfId="37" applyNumberFormat="1" applyFont="1" applyFill="1" applyAlignment="1" applyProtection="1">
      <alignment horizontal="right"/>
    </xf>
    <xf numFmtId="171" fontId="7" fillId="0" borderId="0" xfId="37" applyNumberFormat="1" applyFont="1" applyFill="1" applyAlignment="1" applyProtection="1">
      <alignment horizontal="right"/>
    </xf>
    <xf numFmtId="10" fontId="2" fillId="0" borderId="6" xfId="37" applyNumberFormat="1" applyFont="1" applyBorder="1" applyAlignment="1" applyProtection="1">
      <alignment horizontal="right"/>
    </xf>
    <xf numFmtId="10" fontId="2" fillId="0" borderId="0" xfId="37" applyNumberFormat="1" applyFont="1" applyAlignment="1" applyProtection="1">
      <alignment horizontal="right"/>
    </xf>
    <xf numFmtId="10" fontId="2" fillId="16" borderId="0" xfId="37" applyNumberFormat="1" applyFont="1" applyFill="1" applyBorder="1" applyAlignment="1" applyProtection="1">
      <alignment horizontal="right"/>
    </xf>
    <xf numFmtId="9" fontId="2" fillId="0" borderId="0" xfId="37" applyNumberFormat="1" applyFont="1" applyAlignment="1" applyProtection="1">
      <alignment horizontal="right"/>
    </xf>
    <xf numFmtId="0" fontId="2" fillId="18" borderId="0" xfId="37" applyFont="1" applyFill="1" applyBorder="1" applyProtection="1"/>
    <xf numFmtId="10" fontId="83" fillId="0" borderId="0" xfId="38" applyNumberFormat="1" applyFont="1" applyFill="1" applyBorder="1" applyAlignment="1" applyProtection="1">
      <alignment vertical="center"/>
      <protection locked="0"/>
    </xf>
    <xf numFmtId="10" fontId="83" fillId="0" borderId="38" xfId="38" applyNumberFormat="1" applyFont="1" applyFill="1" applyBorder="1" applyAlignment="1" applyProtection="1">
      <alignment vertical="center"/>
      <protection locked="0"/>
    </xf>
    <xf numFmtId="176" fontId="5" fillId="0" borderId="4" xfId="41" applyNumberFormat="1" applyFont="1" applyFill="1" applyBorder="1" applyAlignment="1" applyProtection="1">
      <alignment horizontal="center" vertical="center"/>
    </xf>
    <xf numFmtId="176" fontId="5" fillId="0" borderId="5" xfId="41" applyNumberFormat="1" applyFont="1" applyFill="1" applyBorder="1" applyAlignment="1" applyProtection="1">
      <alignment horizontal="center" vertical="center"/>
    </xf>
    <xf numFmtId="3" fontId="14" fillId="0" borderId="0" xfId="41" applyNumberFormat="1" applyFont="1" applyFill="1" applyAlignment="1" applyProtection="1">
      <alignment horizontal="right"/>
    </xf>
    <xf numFmtId="10" fontId="14" fillId="0" borderId="0" xfId="41" applyNumberFormat="1" applyFont="1" applyFill="1" applyBorder="1" applyAlignment="1" applyProtection="1">
      <alignment horizontal="left" wrapText="1"/>
    </xf>
    <xf numFmtId="0" fontId="98" fillId="0" borderId="0" xfId="41" applyFont="1" applyFill="1" applyBorder="1" applyAlignment="1" applyProtection="1">
      <alignment vertical="center"/>
    </xf>
    <xf numFmtId="185" fontId="98" fillId="0" borderId="0" xfId="41" applyNumberFormat="1" applyFont="1" applyFill="1" applyBorder="1" applyAlignment="1" applyProtection="1">
      <alignment vertical="center"/>
    </xf>
    <xf numFmtId="0" fontId="56" fillId="0" borderId="0" xfId="12" applyFont="1" applyFill="1" applyBorder="1" applyAlignment="1">
      <alignment horizontal="center" vertical="center"/>
    </xf>
    <xf numFmtId="0" fontId="14" fillId="0" borderId="0" xfId="41" applyFont="1" applyFill="1" applyBorder="1" applyProtection="1"/>
    <xf numFmtId="3" fontId="14" fillId="0" borderId="0" xfId="41" applyNumberFormat="1" applyFont="1" applyFill="1" applyBorder="1" applyAlignment="1" applyProtection="1">
      <alignment horizontal="right"/>
    </xf>
    <xf numFmtId="0" fontId="57" fillId="0" borderId="0" xfId="41" applyFont="1" applyFill="1" applyBorder="1" applyProtection="1"/>
    <xf numFmtId="0" fontId="56" fillId="0" borderId="0" xfId="37" applyFont="1" applyProtection="1"/>
    <xf numFmtId="0" fontId="56" fillId="0" borderId="0" xfId="37" applyFont="1" applyFill="1" applyProtection="1"/>
    <xf numFmtId="0" fontId="56" fillId="0" borderId="0" xfId="37" applyFont="1" applyBorder="1" applyProtection="1"/>
    <xf numFmtId="0" fontId="99" fillId="0" borderId="0" xfId="37" applyFont="1" applyFill="1" applyBorder="1" applyAlignment="1" applyProtection="1">
      <alignment vertical="center"/>
    </xf>
    <xf numFmtId="10" fontId="5" fillId="0" borderId="0" xfId="41" applyNumberFormat="1" applyFont="1" applyFill="1" applyBorder="1" applyAlignment="1" applyProtection="1">
      <alignment horizontal="left" vertical="center"/>
    </xf>
    <xf numFmtId="0" fontId="76" fillId="0" borderId="39" xfId="41" applyFont="1" applyFill="1" applyBorder="1" applyAlignment="1" applyProtection="1">
      <alignment horizontal="center" vertical="center" wrapText="1"/>
    </xf>
    <xf numFmtId="1" fontId="9" fillId="16" borderId="0" xfId="41" applyNumberFormat="1" applyFont="1" applyFill="1" applyBorder="1" applyAlignment="1" applyProtection="1">
      <alignment horizontal="left" vertical="center"/>
    </xf>
    <xf numFmtId="178" fontId="2" fillId="20" borderId="0" xfId="38" applyNumberFormat="1" applyFont="1" applyFill="1" applyAlignment="1" applyProtection="1">
      <alignment horizontal="right" vertical="center"/>
      <protection locked="0"/>
    </xf>
    <xf numFmtId="173" fontId="5" fillId="0" borderId="17" xfId="41" applyNumberFormat="1" applyFont="1" applyFill="1" applyBorder="1" applyAlignment="1" applyProtection="1">
      <alignment horizontal="right" vertical="center"/>
    </xf>
    <xf numFmtId="10" fontId="2" fillId="20" borderId="0" xfId="37" applyNumberFormat="1" applyFont="1" applyFill="1" applyAlignment="1" applyProtection="1">
      <alignment horizontal="right"/>
      <protection locked="0"/>
    </xf>
    <xf numFmtId="0" fontId="30" fillId="17" borderId="0" xfId="41" applyFont="1" applyFill="1" applyAlignment="1" applyProtection="1">
      <alignment vertical="center"/>
    </xf>
    <xf numFmtId="179" fontId="8" fillId="0" borderId="0" xfId="41" applyNumberFormat="1" applyFont="1" applyFill="1" applyBorder="1" applyAlignment="1" applyProtection="1">
      <protection locked="0"/>
    </xf>
    <xf numFmtId="164" fontId="8" fillId="0" borderId="24" xfId="41" applyNumberFormat="1" applyFont="1" applyFill="1" applyBorder="1" applyAlignment="1" applyProtection="1">
      <protection locked="0"/>
    </xf>
    <xf numFmtId="164" fontId="8" fillId="17" borderId="20" xfId="41" applyNumberFormat="1" applyFont="1" applyFill="1" applyBorder="1" applyAlignment="1" applyProtection="1">
      <protection locked="0"/>
    </xf>
    <xf numFmtId="164" fontId="8" fillId="16" borderId="0" xfId="41" applyNumberFormat="1" applyFont="1" applyFill="1" applyBorder="1" applyAlignment="1" applyProtection="1"/>
    <xf numFmtId="1" fontId="9" fillId="16" borderId="20" xfId="41" applyNumberFormat="1" applyFont="1" applyFill="1" applyBorder="1" applyAlignment="1" applyProtection="1">
      <alignment horizontal="center"/>
    </xf>
    <xf numFmtId="167" fontId="9" fillId="16" borderId="20" xfId="41" applyNumberFormat="1" applyFont="1" applyFill="1" applyBorder="1" applyAlignment="1" applyProtection="1">
      <alignment horizontal="left"/>
    </xf>
    <xf numFmtId="0" fontId="9" fillId="16" borderId="20" xfId="41" applyFont="1" applyFill="1" applyBorder="1" applyAlignment="1" applyProtection="1"/>
    <xf numFmtId="0" fontId="6" fillId="16" borderId="20" xfId="41" applyFont="1" applyFill="1" applyBorder="1" applyAlignment="1" applyProtection="1"/>
    <xf numFmtId="0" fontId="5" fillId="16" borderId="20" xfId="41" applyFont="1" applyFill="1" applyBorder="1" applyAlignment="1" applyProtection="1"/>
    <xf numFmtId="1" fontId="9" fillId="16" borderId="21" xfId="41" applyNumberFormat="1" applyFont="1" applyFill="1" applyBorder="1" applyAlignment="1" applyProtection="1">
      <alignment horizontal="left" vertical="center"/>
    </xf>
    <xf numFmtId="167" fontId="9" fillId="16" borderId="21" xfId="41" applyNumberFormat="1" applyFont="1" applyFill="1" applyBorder="1" applyAlignment="1" applyProtection="1">
      <alignment horizontal="left" vertical="center"/>
    </xf>
    <xf numFmtId="0" fontId="9" fillId="16" borderId="21" xfId="41" applyFont="1" applyFill="1" applyBorder="1" applyAlignment="1" applyProtection="1">
      <alignment vertical="center"/>
    </xf>
    <xf numFmtId="0" fontId="8" fillId="16" borderId="21" xfId="41" applyFont="1" applyFill="1" applyBorder="1" applyAlignment="1" applyProtection="1">
      <alignment vertical="center"/>
    </xf>
    <xf numFmtId="164" fontId="8" fillId="17" borderId="20" xfId="41" applyNumberFormat="1" applyFont="1" applyFill="1" applyBorder="1" applyProtection="1">
      <protection locked="0"/>
    </xf>
    <xf numFmtId="1" fontId="9" fillId="16" borderId="21" xfId="41" applyNumberFormat="1" applyFont="1" applyFill="1" applyBorder="1" applyAlignment="1" applyProtection="1">
      <alignment horizontal="center" vertical="center"/>
    </xf>
    <xf numFmtId="0" fontId="6" fillId="16" borderId="21" xfId="41" applyFont="1" applyFill="1" applyBorder="1" applyAlignment="1" applyProtection="1">
      <alignment vertical="center"/>
    </xf>
    <xf numFmtId="0" fontId="5" fillId="16" borderId="21" xfId="41" applyFont="1" applyFill="1" applyBorder="1" applyAlignment="1" applyProtection="1">
      <alignment vertical="center"/>
    </xf>
    <xf numFmtId="10" fontId="5" fillId="0" borderId="17" xfId="41" applyNumberFormat="1" applyFont="1" applyFill="1" applyBorder="1" applyAlignment="1" applyProtection="1">
      <alignment horizontal="right" vertical="center"/>
    </xf>
    <xf numFmtId="10" fontId="5" fillId="16" borderId="17" xfId="28" applyNumberFormat="1" applyFont="1" applyFill="1" applyBorder="1" applyAlignment="1" applyProtection="1">
      <alignment horizontal="right" vertical="center"/>
    </xf>
    <xf numFmtId="0" fontId="5" fillId="0" borderId="0" xfId="41" applyFont="1" applyBorder="1" applyAlignment="1" applyProtection="1">
      <alignment horizontal="right"/>
    </xf>
    <xf numFmtId="10" fontId="2" fillId="16" borderId="0" xfId="41" applyNumberFormat="1" applyFont="1" applyFill="1" applyBorder="1" applyAlignment="1" applyProtection="1">
      <alignment horizontal="right"/>
    </xf>
    <xf numFmtId="9" fontId="1" fillId="16" borderId="0" xfId="41" applyNumberFormat="1" applyFont="1" applyFill="1" applyBorder="1" applyAlignment="1" applyProtection="1">
      <alignment horizontal="right"/>
    </xf>
    <xf numFmtId="0" fontId="5" fillId="0" borderId="0" xfId="41" applyFont="1" applyAlignment="1" applyProtection="1">
      <alignment horizontal="right"/>
    </xf>
    <xf numFmtId="0" fontId="5" fillId="0" borderId="0" xfId="41" applyFont="1" applyFill="1" applyAlignment="1" applyProtection="1">
      <alignment horizontal="right"/>
    </xf>
    <xf numFmtId="10" fontId="16" fillId="0" borderId="0" xfId="41" applyNumberFormat="1" applyFont="1" applyBorder="1" applyAlignment="1" applyProtection="1">
      <alignment horizontal="right" wrapText="1"/>
    </xf>
    <xf numFmtId="10" fontId="81" fillId="0" borderId="39" xfId="41" applyNumberFormat="1" applyFont="1" applyFill="1" applyBorder="1" applyAlignment="1" applyProtection="1">
      <alignment horizontal="right" vertical="center"/>
    </xf>
    <xf numFmtId="10" fontId="81" fillId="0" borderId="40" xfId="41" applyNumberFormat="1" applyFont="1" applyFill="1" applyBorder="1" applyAlignment="1" applyProtection="1">
      <alignment horizontal="right" vertical="center"/>
    </xf>
    <xf numFmtId="10" fontId="81" fillId="0" borderId="35" xfId="41" applyNumberFormat="1" applyFont="1" applyFill="1" applyBorder="1" applyAlignment="1" applyProtection="1">
      <alignment horizontal="right" vertical="center"/>
    </xf>
    <xf numFmtId="44" fontId="13" fillId="0" borderId="0" xfId="41" applyNumberFormat="1" applyFont="1" applyFill="1" applyBorder="1" applyAlignment="1" applyProtection="1">
      <alignment horizontal="right" vertical="center"/>
    </xf>
    <xf numFmtId="174" fontId="8" fillId="17" borderId="0" xfId="41" applyNumberFormat="1" applyFont="1" applyFill="1" applyBorder="1" applyAlignment="1" applyProtection="1">
      <protection locked="0"/>
    </xf>
    <xf numFmtId="186" fontId="8" fillId="17" borderId="24" xfId="41" applyNumberFormat="1" applyFont="1" applyFill="1" applyBorder="1" applyAlignment="1" applyProtection="1">
      <protection locked="0"/>
    </xf>
    <xf numFmtId="178" fontId="2" fillId="20" borderId="0" xfId="38" applyNumberFormat="1" applyFont="1" applyFill="1" applyAlignment="1" applyProtection="1">
      <alignment horizontal="right" vertical="center"/>
      <protection locked="0"/>
    </xf>
    <xf numFmtId="0" fontId="8" fillId="0" borderId="4" xfId="41" applyFont="1" applyFill="1" applyBorder="1" applyAlignment="1" applyProtection="1">
      <alignment horizontal="center" vertical="center" wrapText="1"/>
    </xf>
    <xf numFmtId="0" fontId="8" fillId="0" borderId="4" xfId="41" applyFont="1" applyFill="1" applyBorder="1" applyAlignment="1" applyProtection="1">
      <alignment horizontal="center" vertical="center"/>
    </xf>
    <xf numFmtId="10" fontId="40" fillId="0" borderId="0" xfId="41" applyNumberFormat="1" applyFont="1" applyBorder="1" applyAlignment="1" applyProtection="1">
      <alignment horizontal="right" wrapText="1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4" xfId="12" applyFont="1" applyBorder="1" applyAlignment="1" applyProtection="1">
      <alignment horizontal="center" vertical="center"/>
    </xf>
    <xf numFmtId="0" fontId="3" fillId="0" borderId="5" xfId="12" applyFont="1" applyBorder="1" applyAlignment="1" applyProtection="1">
      <alignment horizontal="center" vertical="center"/>
    </xf>
    <xf numFmtId="0" fontId="92" fillId="0" borderId="0" xfId="0" applyFont="1" applyBorder="1" applyAlignment="1" applyProtection="1">
      <alignment horizontal="left" vertical="top" wrapText="1"/>
    </xf>
    <xf numFmtId="178" fontId="2" fillId="20" borderId="29" xfId="38" applyNumberFormat="1" applyFont="1" applyFill="1" applyBorder="1" applyAlignment="1" applyProtection="1">
      <alignment horizontal="right" vertical="center"/>
      <protection locked="0"/>
    </xf>
    <xf numFmtId="178" fontId="2" fillId="20" borderId="0" xfId="38" applyNumberFormat="1" applyFont="1" applyFill="1" applyAlignment="1" applyProtection="1">
      <alignment horizontal="right" vertical="center"/>
      <protection locked="0"/>
    </xf>
    <xf numFmtId="10" fontId="2" fillId="0" borderId="29" xfId="28" applyNumberFormat="1" applyFont="1" applyFill="1" applyBorder="1" applyAlignment="1" applyProtection="1">
      <alignment horizontal="right" vertical="center"/>
      <protection locked="0"/>
    </xf>
    <xf numFmtId="10" fontId="2" fillId="0" borderId="0" xfId="28" applyNumberFormat="1" applyFont="1" applyFill="1" applyAlignment="1" applyProtection="1">
      <alignment horizontal="right" vertical="center"/>
      <protection locked="0"/>
    </xf>
    <xf numFmtId="10" fontId="16" fillId="0" borderId="0" xfId="41" applyNumberFormat="1" applyFont="1" applyBorder="1" applyAlignment="1" applyProtection="1">
      <alignment horizontal="right" wrapText="1"/>
    </xf>
    <xf numFmtId="178" fontId="2" fillId="17" borderId="29" xfId="38" applyNumberFormat="1" applyFont="1" applyFill="1" applyBorder="1" applyAlignment="1" applyProtection="1">
      <alignment horizontal="right" vertical="center"/>
      <protection locked="0"/>
    </xf>
    <xf numFmtId="178" fontId="2" fillId="17" borderId="0" xfId="38" applyNumberFormat="1" applyFont="1" applyFill="1" applyAlignment="1" applyProtection="1">
      <alignment horizontal="right" vertical="center"/>
      <protection locked="0"/>
    </xf>
    <xf numFmtId="173" fontId="5" fillId="0" borderId="0" xfId="41" applyNumberFormat="1" applyFont="1" applyFill="1" applyBorder="1" applyAlignment="1" applyProtection="1">
      <alignment horizontal="righ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164" fontId="8" fillId="16" borderId="0" xfId="41" applyNumberFormat="1" applyFont="1" applyFill="1" applyBorder="1" applyAlignment="1" applyProtection="1">
      <alignment horizontal="right" vertical="center"/>
    </xf>
    <xf numFmtId="0" fontId="100" fillId="0" borderId="0" xfId="0" applyFont="1" applyAlignment="1">
      <alignment horizontal="left" vertical="center" wrapText="1"/>
    </xf>
    <xf numFmtId="0" fontId="5" fillId="0" borderId="31" xfId="41" applyFont="1" applyBorder="1" applyAlignment="1" applyProtection="1">
      <alignment horizontal="left"/>
    </xf>
    <xf numFmtId="3" fontId="6" fillId="0" borderId="0" xfId="41" applyNumberFormat="1" applyFont="1" applyFill="1" applyBorder="1" applyAlignment="1" applyProtection="1">
      <alignment vertical="top" wrapText="1"/>
    </xf>
    <xf numFmtId="0" fontId="23" fillId="0" borderId="0" xfId="37" applyFont="1" applyFill="1" applyAlignment="1" applyProtection="1">
      <alignment horizontal="left" vertical="center"/>
      <protection locked="0"/>
    </xf>
    <xf numFmtId="1" fontId="5" fillId="0" borderId="17" xfId="41" applyNumberFormat="1" applyFont="1" applyFill="1" applyBorder="1" applyAlignment="1" applyProtection="1">
      <alignment horizontal="left"/>
    </xf>
    <xf numFmtId="10" fontId="29" fillId="0" borderId="0" xfId="41" applyNumberFormat="1" applyFont="1" applyBorder="1" applyAlignment="1" applyProtection="1">
      <alignment horizontal="right" wrapText="1"/>
    </xf>
    <xf numFmtId="1" fontId="5" fillId="0" borderId="31" xfId="41" applyNumberFormat="1" applyFont="1" applyFill="1" applyBorder="1" applyAlignment="1" applyProtection="1">
      <alignment horizontal="left"/>
    </xf>
    <xf numFmtId="1" fontId="9" fillId="0" borderId="0" xfId="41" applyNumberFormat="1" applyFont="1" applyFill="1" applyBorder="1" applyAlignment="1" applyProtection="1">
      <alignment horizontal="left" vertical="center"/>
    </xf>
    <xf numFmtId="3" fontId="5" fillId="0" borderId="22" xfId="41" applyNumberFormat="1" applyFont="1" applyFill="1" applyBorder="1" applyAlignment="1" applyProtection="1">
      <alignment horizontal="center" vertical="center"/>
    </xf>
    <xf numFmtId="0" fontId="5" fillId="0" borderId="0" xfId="41" applyFont="1" applyFill="1" applyBorder="1" applyAlignment="1" applyProtection="1">
      <alignment horizontal="center" vertical="center"/>
    </xf>
    <xf numFmtId="1" fontId="5" fillId="20" borderId="22" xfId="41" applyNumberFormat="1" applyFont="1" applyFill="1" applyBorder="1" applyAlignment="1" applyProtection="1">
      <alignment horizontal="center" vertical="center"/>
    </xf>
    <xf numFmtId="1" fontId="5" fillId="20" borderId="36" xfId="41" applyNumberFormat="1" applyFont="1" applyFill="1" applyBorder="1" applyAlignment="1" applyProtection="1">
      <alignment horizontal="center" vertical="center"/>
    </xf>
    <xf numFmtId="175" fontId="3" fillId="20" borderId="37" xfId="41" applyNumberFormat="1" applyFont="1" applyFill="1" applyBorder="1" applyAlignment="1" applyProtection="1">
      <alignment horizontal="center" vertical="center"/>
    </xf>
    <xf numFmtId="185" fontId="5" fillId="20" borderId="23" xfId="41" applyNumberFormat="1" applyFont="1" applyFill="1" applyBorder="1" applyAlignment="1" applyProtection="1">
      <alignment horizontal="center" vertical="center"/>
    </xf>
    <xf numFmtId="185" fontId="5" fillId="20" borderId="41" xfId="41" applyNumberFormat="1" applyFont="1" applyFill="1" applyBorder="1" applyAlignment="1" applyProtection="1">
      <alignment horizontal="center" vertical="center"/>
    </xf>
    <xf numFmtId="185" fontId="3" fillId="20" borderId="42" xfId="41" applyNumberFormat="1" applyFont="1" applyFill="1" applyBorder="1" applyAlignment="1" applyProtection="1">
      <alignment horizontal="right" vertical="center"/>
    </xf>
    <xf numFmtId="185" fontId="3" fillId="20" borderId="41" xfId="41" applyNumberFormat="1" applyFont="1" applyFill="1" applyBorder="1" applyAlignment="1" applyProtection="1">
      <alignment horizontal="right" vertical="center"/>
    </xf>
    <xf numFmtId="1" fontId="5" fillId="20" borderId="4" xfId="41" applyNumberFormat="1" applyFont="1" applyFill="1" applyBorder="1" applyAlignment="1" applyProtection="1">
      <alignment horizontal="center" vertical="center"/>
    </xf>
    <xf numFmtId="1" fontId="5" fillId="16" borderId="23" xfId="41" applyNumberFormat="1" applyFont="1" applyFill="1" applyBorder="1" applyAlignment="1" applyProtection="1">
      <alignment horizontal="center" vertical="center"/>
    </xf>
    <xf numFmtId="1" fontId="5" fillId="16" borderId="41" xfId="41" applyNumberFormat="1" applyFont="1" applyFill="1" applyBorder="1" applyAlignment="1" applyProtection="1">
      <alignment horizontal="center" vertical="center"/>
    </xf>
    <xf numFmtId="175" fontId="3" fillId="16" borderId="43" xfId="41" applyNumberFormat="1" applyFont="1" applyFill="1" applyBorder="1" applyAlignment="1" applyProtection="1">
      <alignment horizontal="center" vertical="center"/>
    </xf>
    <xf numFmtId="1" fontId="5" fillId="16" borderId="42" xfId="41" applyNumberFormat="1" applyFont="1" applyFill="1" applyBorder="1" applyAlignment="1" applyProtection="1">
      <alignment horizontal="center" vertical="center"/>
    </xf>
    <xf numFmtId="0" fontId="2" fillId="0" borderId="0" xfId="37" applyFont="1" applyFill="1" applyAlignment="1" applyProtection="1">
      <alignment horizontal="left" vertical="center"/>
      <protection locked="0"/>
    </xf>
    <xf numFmtId="3" fontId="5" fillId="16" borderId="0" xfId="12" applyNumberFormat="1" applyFont="1" applyFill="1" applyBorder="1" applyAlignment="1" applyProtection="1">
      <alignment horizontal="right" vertical="center"/>
    </xf>
    <xf numFmtId="164" fontId="5" fillId="16" borderId="0" xfId="12" applyNumberFormat="1" applyFont="1" applyFill="1" applyBorder="1" applyAlignment="1" applyProtection="1">
      <alignment horizontal="center" vertical="center"/>
    </xf>
    <xf numFmtId="10" fontId="2" fillId="20" borderId="0" xfId="38" applyNumberFormat="1" applyFont="1" applyFill="1" applyBorder="1" applyAlignment="1" applyProtection="1">
      <alignment horizontal="right" vertical="center"/>
      <protection locked="0"/>
    </xf>
    <xf numFmtId="164" fontId="2" fillId="0" borderId="0" xfId="37" applyNumberFormat="1" applyFont="1" applyBorder="1" applyAlignment="1" applyProtection="1">
      <alignment horizontal="center"/>
    </xf>
    <xf numFmtId="10" fontId="2" fillId="20" borderId="38" xfId="38" applyNumberFormat="1" applyFont="1" applyFill="1" applyBorder="1" applyAlignment="1" applyProtection="1">
      <alignment horizontal="right" vertical="center"/>
      <protection locked="0"/>
    </xf>
    <xf numFmtId="164" fontId="2" fillId="0" borderId="38" xfId="37" applyNumberFormat="1" applyFont="1" applyBorder="1" applyAlignment="1" applyProtection="1">
      <alignment horizontal="center"/>
    </xf>
    <xf numFmtId="10" fontId="2" fillId="0" borderId="0" xfId="38" applyNumberFormat="1" applyFont="1" applyFill="1" applyBorder="1" applyAlignment="1" applyProtection="1">
      <alignment horizontal="right" vertical="center"/>
      <protection locked="0"/>
    </xf>
    <xf numFmtId="164" fontId="1" fillId="0" borderId="0" xfId="37" applyNumberFormat="1" applyFont="1" applyFill="1" applyAlignment="1" applyProtection="1">
      <alignment horizontal="center"/>
    </xf>
    <xf numFmtId="177" fontId="8" fillId="20" borderId="26" xfId="41" applyNumberFormat="1" applyFont="1" applyFill="1" applyBorder="1" applyAlignment="1" applyProtection="1">
      <alignment horizontal="right"/>
      <protection locked="0"/>
    </xf>
    <xf numFmtId="10" fontId="83" fillId="0" borderId="44" xfId="38" applyNumberFormat="1" applyFont="1" applyFill="1" applyBorder="1" applyAlignment="1" applyProtection="1">
      <alignment horizontal="right" vertical="center"/>
      <protection locked="0"/>
    </xf>
    <xf numFmtId="164" fontId="1" fillId="16" borderId="0" xfId="37" applyNumberFormat="1" applyFont="1" applyFill="1" applyAlignment="1" applyProtection="1">
      <alignment horizontal="center"/>
    </xf>
    <xf numFmtId="10" fontId="2" fillId="20" borderId="0" xfId="37" applyNumberFormat="1" applyFont="1" applyFill="1" applyAlignment="1" applyProtection="1">
      <alignment horizontal="right"/>
      <protection locked="0"/>
    </xf>
    <xf numFmtId="10" fontId="2" fillId="0" borderId="0" xfId="37" applyNumberFormat="1" applyFont="1" applyFill="1" applyAlignment="1" applyProtection="1">
      <alignment horizontal="right"/>
    </xf>
    <xf numFmtId="164" fontId="1" fillId="18" borderId="0" xfId="37" applyNumberFormat="1" applyFont="1" applyFill="1" applyAlignment="1" applyProtection="1">
      <alignment horizontal="center"/>
    </xf>
    <xf numFmtId="0" fontId="89" fillId="0" borderId="0" xfId="37" applyFont="1" applyFill="1" applyBorder="1" applyAlignment="1" applyProtection="1">
      <alignment horizontal="left" wrapText="1"/>
    </xf>
  </cellXfs>
  <cellStyles count="50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Honorar" xfId="19" xr:uid="{00000000-0005-0000-0000-000012000000}"/>
    <cellStyle name="Honorar ohne ATS 3" xfId="20" xr:uid="{00000000-0005-0000-0000-000013000000}"/>
    <cellStyle name="Komma" xfId="21" builtinId="3"/>
    <cellStyle name="Komma 2" xfId="22" xr:uid="{00000000-0005-0000-0000-000015000000}"/>
    <cellStyle name="Komma 2 2" xfId="23" xr:uid="{00000000-0005-0000-0000-000016000000}"/>
    <cellStyle name="Kosten" xfId="24" xr:uid="{00000000-0005-0000-0000-000017000000}"/>
    <cellStyle name="Kosten ohne ATS" xfId="25" xr:uid="{00000000-0005-0000-0000-000018000000}"/>
    <cellStyle name="Neutral" xfId="26" builtinId="28" customBuiltin="1"/>
    <cellStyle name="Notiz" xfId="27" builtinId="10" customBuiltin="1"/>
    <cellStyle name="Prozent" xfId="28" builtinId="5"/>
    <cellStyle name="Prozent 2" xfId="29" xr:uid="{00000000-0005-0000-0000-00001C000000}"/>
    <cellStyle name="Prozent 2 2" xfId="30" xr:uid="{00000000-0005-0000-0000-00001D000000}"/>
    <cellStyle name="Prozent 3" xfId="31" xr:uid="{00000000-0005-0000-0000-00001E000000}"/>
    <cellStyle name="Schlecht" xfId="32" builtinId="27" customBuiltin="1"/>
    <cellStyle name="Standard" xfId="0" builtinId="0"/>
    <cellStyle name="Standard 2" xfId="33" xr:uid="{00000000-0005-0000-0000-000021000000}"/>
    <cellStyle name="Standard 2 2" xfId="34" xr:uid="{00000000-0005-0000-0000-000022000000}"/>
    <cellStyle name="Standard 3" xfId="35" xr:uid="{00000000-0005-0000-0000-000023000000}"/>
    <cellStyle name="Standard 3 2" xfId="36" xr:uid="{00000000-0005-0000-0000-000024000000}"/>
    <cellStyle name="Standard 3 3" xfId="37" xr:uid="{00000000-0005-0000-0000-000025000000}"/>
    <cellStyle name="Standard 4" xfId="38" xr:uid="{00000000-0005-0000-0000-000026000000}"/>
    <cellStyle name="Standard 5" xfId="39" xr:uid="{00000000-0005-0000-0000-000027000000}"/>
    <cellStyle name="Standard 5 2" xfId="40" xr:uid="{00000000-0005-0000-0000-000028000000}"/>
    <cellStyle name="Standard_K.Schätzung 2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1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tabColor theme="0"/>
  </sheetPr>
  <dimension ref="A1:P57"/>
  <sheetViews>
    <sheetView showGridLines="0" tabSelected="1" view="pageLayout" zoomScale="85" zoomScaleNormal="130" zoomScaleSheetLayoutView="130" zoomScalePageLayoutView="85" workbookViewId="0">
      <selection activeCell="D49" sqref="D49"/>
    </sheetView>
  </sheetViews>
  <sheetFormatPr baseColWidth="10" defaultColWidth="11.5703125" defaultRowHeight="15" x14ac:dyDescent="0.25"/>
  <cols>
    <col min="1" max="1" width="2.140625" style="1" customWidth="1"/>
    <col min="2" max="2" width="10" style="7" customWidth="1"/>
    <col min="3" max="3" width="1.28515625" style="7" customWidth="1"/>
    <col min="4" max="4" width="42.7109375" style="8" customWidth="1"/>
    <col min="5" max="5" width="8.42578125" style="8" customWidth="1"/>
    <col min="6" max="6" width="2.140625" style="8" customWidth="1"/>
    <col min="7" max="7" width="8.42578125" style="280" customWidth="1"/>
    <col min="8" max="8" width="1.28515625" style="42" customWidth="1"/>
    <col min="9" max="9" width="15.28515625" style="10" customWidth="1"/>
    <col min="10" max="10" width="1.28515625" style="42" customWidth="1"/>
    <col min="11" max="11" width="15.28515625" style="10" customWidth="1"/>
    <col min="12" max="12" width="1.28515625" style="42" customWidth="1"/>
    <col min="13" max="13" width="15.28515625" style="10" customWidth="1"/>
    <col min="14" max="14" width="1" customWidth="1"/>
    <col min="15" max="15" width="11.5703125" style="1"/>
    <col min="16" max="16" width="12" style="1" bestFit="1" customWidth="1"/>
    <col min="17" max="16384" width="11.5703125" style="1"/>
  </cols>
  <sheetData>
    <row r="1" spans="1:14" ht="5.0999999999999996" customHeight="1" x14ac:dyDescent="0.2">
      <c r="I1" s="9"/>
      <c r="K1" s="9"/>
      <c r="M1" s="9"/>
      <c r="N1" s="59"/>
    </row>
    <row r="2" spans="1:14" s="141" customFormat="1" ht="30" customHeight="1" x14ac:dyDescent="0.25">
      <c r="A2" s="277" t="s">
        <v>119</v>
      </c>
      <c r="B2" s="278"/>
      <c r="C2" s="277"/>
      <c r="D2" s="785" t="s">
        <v>430</v>
      </c>
      <c r="E2" s="785"/>
      <c r="F2" s="785"/>
      <c r="G2" s="785"/>
      <c r="H2" s="785"/>
      <c r="I2" s="785"/>
      <c r="J2" s="785"/>
      <c r="K2" s="785"/>
      <c r="L2" s="785"/>
      <c r="M2" s="785"/>
      <c r="N2" s="785"/>
    </row>
    <row r="3" spans="1:14" s="54" customFormat="1" ht="6" customHeight="1" x14ac:dyDescent="0.25">
      <c r="A3" s="266"/>
      <c r="B3" s="13"/>
      <c r="C3" s="103"/>
      <c r="E3" s="55"/>
      <c r="F3" s="55"/>
      <c r="G3" s="281"/>
      <c r="H3" s="156"/>
      <c r="J3" s="156"/>
      <c r="L3" s="156"/>
      <c r="N3" s="62"/>
    </row>
    <row r="4" spans="1:14" s="11" customFormat="1" ht="32.25" customHeight="1" x14ac:dyDescent="0.25">
      <c r="A4" s="105"/>
      <c r="B4" s="273" t="s">
        <v>130</v>
      </c>
      <c r="C4" s="272"/>
      <c r="D4" s="272" t="s">
        <v>125</v>
      </c>
      <c r="E4" s="273" t="s">
        <v>129</v>
      </c>
      <c r="F4" s="285"/>
      <c r="G4" s="273" t="s">
        <v>82</v>
      </c>
      <c r="H4" s="285"/>
      <c r="I4" s="818" t="s">
        <v>327</v>
      </c>
      <c r="J4" s="818"/>
      <c r="K4" s="818" t="s">
        <v>431</v>
      </c>
      <c r="L4" s="818"/>
      <c r="M4" s="818" t="s">
        <v>260</v>
      </c>
      <c r="N4" s="717"/>
    </row>
    <row r="5" spans="1:14" s="11" customFormat="1" ht="6" customHeight="1" x14ac:dyDescent="0.25">
      <c r="G5" s="282"/>
      <c r="I5" s="98"/>
      <c r="K5" s="98"/>
      <c r="M5" s="98"/>
      <c r="N5" s="2"/>
    </row>
    <row r="6" spans="1:14" s="12" customFormat="1" ht="12.95" customHeight="1" x14ac:dyDescent="0.2">
      <c r="B6" s="274">
        <v>0</v>
      </c>
      <c r="D6" s="275" t="s">
        <v>126</v>
      </c>
      <c r="E6" s="803">
        <f>M6/$M$28</f>
        <v>0</v>
      </c>
      <c r="F6" s="108"/>
      <c r="G6" s="804">
        <f>M6/$M$30</f>
        <v>0</v>
      </c>
      <c r="H6" s="108"/>
      <c r="I6" s="181">
        <v>0</v>
      </c>
      <c r="J6" s="108"/>
      <c r="K6" s="181">
        <v>0</v>
      </c>
      <c r="L6" s="108"/>
      <c r="M6" s="184">
        <f>I6+K6</f>
        <v>0</v>
      </c>
      <c r="N6" s="50"/>
    </row>
    <row r="7" spans="1:14" ht="6.95" customHeight="1" x14ac:dyDescent="0.2">
      <c r="B7" s="17"/>
      <c r="C7" s="1"/>
      <c r="D7" s="1"/>
      <c r="E7" s="57"/>
      <c r="F7" s="99"/>
      <c r="G7" s="138"/>
      <c r="H7" s="99"/>
      <c r="I7" s="182"/>
      <c r="J7" s="99"/>
      <c r="K7" s="182"/>
      <c r="L7" s="99"/>
      <c r="M7" s="182"/>
      <c r="N7" s="63"/>
    </row>
    <row r="8" spans="1:14" s="12" customFormat="1" ht="12.95" customHeight="1" x14ac:dyDescent="0.2">
      <c r="B8" s="274">
        <v>1</v>
      </c>
      <c r="D8" s="275" t="s">
        <v>0</v>
      </c>
      <c r="E8" s="803">
        <f>M8/$M$28</f>
        <v>2.711076684740511E-3</v>
      </c>
      <c r="F8" s="108"/>
      <c r="G8" s="804">
        <f>M8/$M$30</f>
        <v>2.1739888766278866E-3</v>
      </c>
      <c r="H8" s="108"/>
      <c r="I8" s="181">
        <v>70000</v>
      </c>
      <c r="J8" s="108"/>
      <c r="K8" s="181">
        <v>0</v>
      </c>
      <c r="L8" s="108"/>
      <c r="M8" s="184">
        <f>I8+K8</f>
        <v>70000</v>
      </c>
      <c r="N8" s="50"/>
    </row>
    <row r="9" spans="1:14" ht="6.95" customHeight="1" x14ac:dyDescent="0.2">
      <c r="B9" s="17"/>
      <c r="C9" s="1"/>
      <c r="D9" s="1"/>
      <c r="E9" s="57"/>
      <c r="F9" s="99"/>
      <c r="G9" s="138"/>
      <c r="H9" s="99"/>
      <c r="I9" s="182"/>
      <c r="J9" s="99"/>
      <c r="K9" s="182"/>
      <c r="L9" s="99"/>
      <c r="M9" s="182"/>
      <c r="N9" s="63"/>
    </row>
    <row r="10" spans="1:14" s="12" customFormat="1" ht="12.95" customHeight="1" x14ac:dyDescent="0.2">
      <c r="B10" s="274">
        <v>2</v>
      </c>
      <c r="D10" s="275" t="s">
        <v>1</v>
      </c>
      <c r="E10" s="803">
        <f>M10/$M$28</f>
        <v>0.34856700232378002</v>
      </c>
      <c r="F10" s="108"/>
      <c r="G10" s="804">
        <f>M10/$M$30</f>
        <v>0.27951285556644256</v>
      </c>
      <c r="H10" s="108"/>
      <c r="I10" s="183">
        <v>9000000</v>
      </c>
      <c r="J10" s="108"/>
      <c r="K10" s="181">
        <v>0</v>
      </c>
      <c r="L10" s="108"/>
      <c r="M10" s="184">
        <f>I10+K10</f>
        <v>9000000</v>
      </c>
      <c r="N10" s="50"/>
    </row>
    <row r="11" spans="1:14" ht="6.95" customHeight="1" x14ac:dyDescent="0.2">
      <c r="B11" s="276"/>
      <c r="C11" s="1"/>
      <c r="D11" s="14"/>
      <c r="E11" s="57"/>
      <c r="F11" s="99"/>
      <c r="G11" s="805"/>
      <c r="H11" s="99"/>
      <c r="I11" s="182"/>
      <c r="J11" s="99"/>
      <c r="K11" s="182"/>
      <c r="L11" s="99"/>
      <c r="M11" s="182"/>
      <c r="N11" s="50"/>
    </row>
    <row r="12" spans="1:14" s="11" customFormat="1" ht="12.95" customHeight="1" x14ac:dyDescent="0.2">
      <c r="B12" s="274">
        <v>3</v>
      </c>
      <c r="C12" s="157"/>
      <c r="D12" s="275" t="s">
        <v>7</v>
      </c>
      <c r="E12" s="803">
        <f>M12/$M$28</f>
        <v>0.31371030209140199</v>
      </c>
      <c r="F12" s="108"/>
      <c r="G12" s="804">
        <f>M12/$M$30</f>
        <v>0.25156157000979829</v>
      </c>
      <c r="H12" s="108"/>
      <c r="I12" s="184">
        <f>I41</f>
        <v>8100000</v>
      </c>
      <c r="J12" s="108"/>
      <c r="K12" s="184">
        <f>K41</f>
        <v>0</v>
      </c>
      <c r="L12" s="108"/>
      <c r="M12" s="184">
        <f>I12+K12</f>
        <v>8100000</v>
      </c>
      <c r="N12" s="50"/>
    </row>
    <row r="13" spans="1:14" ht="6.95" customHeight="1" x14ac:dyDescent="0.2">
      <c r="B13" s="276"/>
      <c r="C13" s="1"/>
      <c r="D13" s="14"/>
      <c r="E13" s="57"/>
      <c r="F13" s="99"/>
      <c r="G13" s="805"/>
      <c r="H13" s="99"/>
      <c r="I13" s="182"/>
      <c r="J13" s="99"/>
      <c r="K13" s="182"/>
      <c r="L13" s="99"/>
      <c r="M13" s="182"/>
      <c r="N13" s="189"/>
    </row>
    <row r="14" spans="1:14" s="11" customFormat="1" ht="12.75" customHeight="1" x14ac:dyDescent="0.2">
      <c r="B14" s="274">
        <v>4</v>
      </c>
      <c r="C14" s="157"/>
      <c r="D14" s="275" t="s">
        <v>2</v>
      </c>
      <c r="E14" s="803">
        <f>M14/$M$28</f>
        <v>0.25174283501161893</v>
      </c>
      <c r="F14" s="108"/>
      <c r="G14" s="804">
        <f>M14/$M$30</f>
        <v>0.20187039568687518</v>
      </c>
      <c r="H14" s="108"/>
      <c r="I14" s="183">
        <v>6500000</v>
      </c>
      <c r="J14" s="108"/>
      <c r="K14" s="181">
        <v>0</v>
      </c>
      <c r="L14" s="108"/>
      <c r="M14" s="184">
        <f>I14+K14</f>
        <v>6500000</v>
      </c>
      <c r="N14" s="50"/>
    </row>
    <row r="15" spans="1:14" ht="6.95" customHeight="1" x14ac:dyDescent="0.2">
      <c r="B15" s="17"/>
      <c r="C15" s="1"/>
      <c r="D15" s="1"/>
      <c r="E15" s="57"/>
      <c r="F15" s="99"/>
      <c r="G15" s="138"/>
      <c r="H15" s="99"/>
      <c r="I15" s="182"/>
      <c r="J15" s="99"/>
      <c r="K15" s="182"/>
      <c r="L15" s="99"/>
      <c r="M15" s="182"/>
      <c r="N15" s="48"/>
    </row>
    <row r="16" spans="1:14" s="12" customFormat="1" ht="12.95" customHeight="1" x14ac:dyDescent="0.2">
      <c r="B16" s="274">
        <v>5</v>
      </c>
      <c r="D16" s="275" t="s">
        <v>9</v>
      </c>
      <c r="E16" s="803">
        <f>M16/$M$28</f>
        <v>6.390395042602634E-2</v>
      </c>
      <c r="F16" s="108"/>
      <c r="G16" s="804">
        <f>M16/$M$30</f>
        <v>5.1244023520514471E-2</v>
      </c>
      <c r="H16" s="108"/>
      <c r="I16" s="184">
        <f>I52</f>
        <v>1650000</v>
      </c>
      <c r="J16" s="108"/>
      <c r="K16" s="184">
        <f>K52</f>
        <v>0</v>
      </c>
      <c r="L16" s="108"/>
      <c r="M16" s="184">
        <f>I16+K16</f>
        <v>1650000</v>
      </c>
      <c r="N16" s="50"/>
    </row>
    <row r="17" spans="2:14" ht="6.95" customHeight="1" x14ac:dyDescent="0.2">
      <c r="B17" s="276"/>
      <c r="C17" s="1"/>
      <c r="D17" s="14"/>
      <c r="E17" s="57"/>
      <c r="F17" s="99"/>
      <c r="G17" s="805"/>
      <c r="H17" s="99"/>
      <c r="I17" s="182"/>
      <c r="J17" s="99"/>
      <c r="K17" s="182"/>
      <c r="L17" s="99"/>
      <c r="M17" s="182"/>
      <c r="N17" s="50"/>
    </row>
    <row r="18" spans="2:14" s="11" customFormat="1" ht="12.95" customHeight="1" x14ac:dyDescent="0.2">
      <c r="B18" s="274">
        <v>6</v>
      </c>
      <c r="C18" s="157"/>
      <c r="D18" s="275" t="s">
        <v>3</v>
      </c>
      <c r="E18" s="803">
        <f>M18/$M$28</f>
        <v>1.9364833462432222E-2</v>
      </c>
      <c r="F18" s="108"/>
      <c r="G18" s="804">
        <f>M18/$M$30</f>
        <v>1.5528491975913475E-2</v>
      </c>
      <c r="H18" s="108"/>
      <c r="I18" s="183">
        <v>500000</v>
      </c>
      <c r="J18" s="108"/>
      <c r="K18" s="181">
        <v>0</v>
      </c>
      <c r="L18" s="108"/>
      <c r="M18" s="184">
        <f>I18+K18</f>
        <v>500000</v>
      </c>
      <c r="N18" s="50"/>
    </row>
    <row r="19" spans="2:14" ht="6.95" customHeight="1" x14ac:dyDescent="0.2">
      <c r="B19" s="17"/>
      <c r="C19" s="1"/>
      <c r="D19" s="1"/>
      <c r="E19" s="729"/>
      <c r="F19" s="101"/>
      <c r="G19" s="138"/>
      <c r="H19" s="101"/>
      <c r="I19" s="182"/>
      <c r="J19" s="101"/>
      <c r="K19" s="182"/>
      <c r="L19" s="101"/>
      <c r="M19" s="182"/>
      <c r="N19" s="50"/>
    </row>
    <row r="20" spans="2:14" s="12" customFormat="1" ht="12.95" customHeight="1" x14ac:dyDescent="0.2">
      <c r="B20" s="274">
        <v>7</v>
      </c>
      <c r="D20" s="275" t="s">
        <v>166</v>
      </c>
      <c r="E20" s="803">
        <f>M20/$M$28</f>
        <v>0.18369003867423148</v>
      </c>
      <c r="F20" s="108"/>
      <c r="G20" s="804">
        <f>M20/$M$30</f>
        <v>0.14729944861863917</v>
      </c>
      <c r="H20" s="108"/>
      <c r="I20" s="108"/>
      <c r="J20" s="108"/>
      <c r="K20" s="108"/>
      <c r="L20" s="108"/>
      <c r="M20" s="184">
        <v>4742876.7985686567</v>
      </c>
      <c r="N20" s="50"/>
    </row>
    <row r="21" spans="2:14" ht="6.95" customHeight="1" x14ac:dyDescent="0.2">
      <c r="B21" s="276"/>
      <c r="C21" s="1"/>
      <c r="D21" s="14"/>
      <c r="E21" s="729"/>
      <c r="F21" s="101"/>
      <c r="G21" s="805"/>
      <c r="H21" s="101"/>
      <c r="I21" s="182"/>
      <c r="J21" s="101"/>
      <c r="K21" s="182"/>
      <c r="L21" s="101"/>
      <c r="M21" s="182"/>
      <c r="N21" s="50"/>
    </row>
    <row r="22" spans="2:14" s="12" customFormat="1" ht="12.95" customHeight="1" x14ac:dyDescent="0.2">
      <c r="B22" s="274">
        <v>8</v>
      </c>
      <c r="D22" s="275" t="s">
        <v>127</v>
      </c>
      <c r="E22" s="803">
        <f>M22/$M$28</f>
        <v>1.3942680092951202E-3</v>
      </c>
      <c r="F22" s="108"/>
      <c r="G22" s="804">
        <f>M22/$M$30</f>
        <v>1.1180514222657702E-3</v>
      </c>
      <c r="H22" s="108"/>
      <c r="I22" s="183">
        <v>36000</v>
      </c>
      <c r="J22" s="108"/>
      <c r="K22" s="181">
        <v>0</v>
      </c>
      <c r="L22" s="108"/>
      <c r="M22" s="184">
        <f>I22+K22</f>
        <v>36000</v>
      </c>
      <c r="N22" s="50"/>
    </row>
    <row r="23" spans="2:14" ht="6.95" customHeight="1" x14ac:dyDescent="0.2">
      <c r="B23" s="276"/>
      <c r="C23" s="1"/>
      <c r="D23" s="14"/>
      <c r="E23" s="729"/>
      <c r="F23" s="101"/>
      <c r="G23" s="805"/>
      <c r="H23" s="101"/>
      <c r="I23" s="182"/>
      <c r="J23" s="101"/>
      <c r="K23" s="182"/>
      <c r="L23" s="101"/>
      <c r="M23" s="182"/>
      <c r="N23" s="189"/>
    </row>
    <row r="24" spans="2:14" s="12" customFormat="1" ht="12.95" customHeight="1" x14ac:dyDescent="0.2">
      <c r="B24" s="274">
        <v>9</v>
      </c>
      <c r="D24" s="275" t="s">
        <v>10</v>
      </c>
      <c r="E24" s="803">
        <f>M24/$M$28</f>
        <v>6.1967467079783116E-2</v>
      </c>
      <c r="F24" s="108"/>
      <c r="G24" s="804">
        <f>M24/$M$30</f>
        <v>4.9691174322923123E-2</v>
      </c>
      <c r="H24" s="108"/>
      <c r="I24" s="183">
        <v>1600000</v>
      </c>
      <c r="J24" s="108"/>
      <c r="K24" s="181">
        <v>0</v>
      </c>
      <c r="L24" s="108"/>
      <c r="M24" s="184">
        <f>I24+K24</f>
        <v>1600000</v>
      </c>
      <c r="N24" s="50"/>
    </row>
    <row r="25" spans="2:14" ht="12" customHeight="1" x14ac:dyDescent="0.2">
      <c r="B25" s="17"/>
      <c r="C25" s="5"/>
      <c r="D25" s="1"/>
      <c r="E25" s="57"/>
      <c r="F25" s="57"/>
      <c r="G25" s="57"/>
      <c r="H25" s="47"/>
      <c r="I25" s="48"/>
      <c r="J25" s="47"/>
      <c r="K25" s="48"/>
      <c r="L25" s="47"/>
      <c r="M25" s="48"/>
      <c r="N25" s="1"/>
    </row>
    <row r="26" spans="2:14" ht="15" customHeight="1" x14ac:dyDescent="0.25">
      <c r="B26" s="97" t="s">
        <v>118</v>
      </c>
      <c r="C26" s="91"/>
      <c r="D26" s="91"/>
      <c r="E26" s="806">
        <f>M26/$M$28</f>
        <v>0.91402013942680094</v>
      </c>
      <c r="F26" s="807"/>
      <c r="G26" s="806">
        <f>M26/$M$30</f>
        <v>0.73294482126311611</v>
      </c>
      <c r="H26" s="102"/>
      <c r="I26" s="454">
        <f>I10+I12+I14</f>
        <v>23600000</v>
      </c>
      <c r="J26" s="102"/>
      <c r="K26" s="454">
        <f>K10+K12+K14</f>
        <v>0</v>
      </c>
      <c r="L26" s="102"/>
      <c r="M26" s="118">
        <f>M10+M12+M14</f>
        <v>23600000</v>
      </c>
    </row>
    <row r="27" spans="2:14" ht="5.0999999999999996" customHeight="1" x14ac:dyDescent="0.25">
      <c r="E27" s="808"/>
      <c r="F27" s="808"/>
      <c r="G27" s="809"/>
      <c r="N27" s="188"/>
    </row>
    <row r="28" spans="2:14" ht="15" customHeight="1" x14ac:dyDescent="0.25">
      <c r="B28" s="97" t="s">
        <v>117</v>
      </c>
      <c r="C28" s="91"/>
      <c r="D28" s="91"/>
      <c r="E28" s="807">
        <f>M28/$M$28</f>
        <v>1</v>
      </c>
      <c r="F28" s="807"/>
      <c r="G28" s="806">
        <f>M28/$M$30</f>
        <v>0.80189132563617194</v>
      </c>
      <c r="H28" s="102"/>
      <c r="I28" s="454">
        <f>I8+I10+I12+I14+I16+I18</f>
        <v>25820000</v>
      </c>
      <c r="J28" s="102"/>
      <c r="K28" s="454">
        <f>K8+K10+K12+K14+K16+K18</f>
        <v>0</v>
      </c>
      <c r="L28" s="102"/>
      <c r="M28" s="118">
        <f>M8+M10+M12+M14+M16+M18</f>
        <v>25820000</v>
      </c>
    </row>
    <row r="29" spans="2:14" ht="5.0999999999999996" customHeight="1" x14ac:dyDescent="0.25">
      <c r="E29" s="808"/>
      <c r="F29" s="808"/>
      <c r="G29" s="809"/>
      <c r="N29" s="188"/>
    </row>
    <row r="30" spans="2:14" ht="15" customHeight="1" x14ac:dyDescent="0.25">
      <c r="B30" s="97" t="s">
        <v>116</v>
      </c>
      <c r="C30" s="91"/>
      <c r="D30" s="91"/>
      <c r="E30" s="806"/>
      <c r="F30" s="807"/>
      <c r="G30" s="807">
        <f>M30/$M$30</f>
        <v>1</v>
      </c>
      <c r="H30" s="102"/>
      <c r="I30" s="454">
        <f>SUM(I8+I10+I12+I14+I16+I18+I20+I22+I24)</f>
        <v>27456000</v>
      </c>
      <c r="J30" s="102"/>
      <c r="K30" s="454">
        <f>SUM(K8+K10+K12+K14+K16+K18+K20+K22+K24)</f>
        <v>0</v>
      </c>
      <c r="L30" s="102"/>
      <c r="M30" s="118">
        <f>SUM(M8+M10+M12+M14+M16+M18+M20+M22+M24)</f>
        <v>32198876.798568659</v>
      </c>
      <c r="N30" s="30"/>
    </row>
    <row r="31" spans="2:14" ht="12.75" customHeight="1" x14ac:dyDescent="0.25">
      <c r="N31" s="188"/>
    </row>
    <row r="32" spans="2:14" s="11" customFormat="1" ht="12.95" customHeight="1" x14ac:dyDescent="0.25">
      <c r="G32" s="283"/>
      <c r="H32" s="165"/>
      <c r="I32" s="166"/>
      <c r="J32" s="165"/>
      <c r="K32" s="166"/>
      <c r="L32" s="165"/>
      <c r="M32" s="166"/>
      <c r="N32" s="45"/>
    </row>
    <row r="33" spans="1:16" s="11" customFormat="1" ht="6" customHeight="1" x14ac:dyDescent="0.25">
      <c r="G33" s="282"/>
      <c r="I33" s="98"/>
      <c r="K33" s="98"/>
      <c r="M33" s="98"/>
      <c r="N33" s="2"/>
    </row>
    <row r="34" spans="1:16" s="11" customFormat="1" ht="12.95" customHeight="1" x14ac:dyDescent="0.2">
      <c r="B34" s="795" t="s">
        <v>244</v>
      </c>
      <c r="C34" s="796"/>
      <c r="D34" s="797" t="s">
        <v>121</v>
      </c>
      <c r="E34" s="797"/>
      <c r="F34" s="797"/>
      <c r="G34" s="798"/>
      <c r="H34" s="797"/>
      <c r="I34" s="184"/>
      <c r="J34" s="797"/>
      <c r="K34" s="184"/>
      <c r="L34" s="797"/>
      <c r="M34" s="184"/>
      <c r="N34" s="50"/>
    </row>
    <row r="35" spans="1:16" ht="12.75" customHeight="1" x14ac:dyDescent="0.2">
      <c r="B35" s="4"/>
      <c r="C35" s="5"/>
      <c r="D35" s="258" t="s">
        <v>122</v>
      </c>
      <c r="E35" s="258"/>
      <c r="F35" s="258"/>
      <c r="G35" s="258"/>
      <c r="H35" s="258"/>
      <c r="I35" s="786"/>
      <c r="J35" s="258"/>
      <c r="K35" s="815">
        <v>2000</v>
      </c>
      <c r="L35" s="258"/>
      <c r="N35" s="50"/>
    </row>
    <row r="36" spans="1:16" ht="12.75" customHeight="1" x14ac:dyDescent="0.2">
      <c r="B36" s="269"/>
      <c r="C36" s="270"/>
      <c r="D36" s="271" t="s">
        <v>123</v>
      </c>
      <c r="E36" s="271"/>
      <c r="F36" s="271"/>
      <c r="G36" s="271"/>
      <c r="H36" s="271"/>
      <c r="I36" s="787"/>
      <c r="J36" s="271"/>
      <c r="K36" s="816">
        <v>55</v>
      </c>
      <c r="L36" s="258"/>
      <c r="N36" s="50"/>
    </row>
    <row r="37" spans="1:16" ht="12.75" customHeight="1" x14ac:dyDescent="0.2">
      <c r="B37" s="4"/>
      <c r="C37" s="5"/>
      <c r="D37" s="258" t="s">
        <v>124</v>
      </c>
      <c r="E37" s="258"/>
      <c r="F37" s="258"/>
      <c r="G37" s="258"/>
      <c r="H37" s="258"/>
      <c r="I37" s="268"/>
      <c r="J37" s="258"/>
      <c r="K37" s="184">
        <f>K35*K36</f>
        <v>110000</v>
      </c>
      <c r="L37" s="258"/>
      <c r="N37" s="50"/>
    </row>
    <row r="38" spans="1:16" ht="12.75" customHeight="1" x14ac:dyDescent="0.2">
      <c r="B38" s="4"/>
      <c r="C38" s="5"/>
      <c r="D38" s="258"/>
      <c r="E38" s="258"/>
      <c r="F38" s="258"/>
      <c r="G38" s="258"/>
      <c r="H38" s="258"/>
      <c r="I38" s="268"/>
      <c r="J38" s="258"/>
      <c r="K38" s="268"/>
      <c r="L38" s="258"/>
      <c r="M38" s="268"/>
      <c r="N38" s="50"/>
    </row>
    <row r="39" spans="1:16" s="11" customFormat="1" ht="32.25" customHeight="1" x14ac:dyDescent="0.25">
      <c r="A39" s="105"/>
      <c r="B39" s="273" t="s">
        <v>120</v>
      </c>
      <c r="C39" s="272"/>
      <c r="D39" s="577" t="s">
        <v>318</v>
      </c>
      <c r="E39" s="273" t="s">
        <v>129</v>
      </c>
      <c r="F39" s="285"/>
      <c r="G39" s="273" t="s">
        <v>82</v>
      </c>
      <c r="H39" s="285"/>
      <c r="I39" s="819" t="s">
        <v>327</v>
      </c>
      <c r="J39" s="819"/>
      <c r="K39" s="819" t="s">
        <v>431</v>
      </c>
      <c r="L39" s="819"/>
      <c r="M39" s="819" t="s">
        <v>260</v>
      </c>
      <c r="N39" s="717"/>
    </row>
    <row r="40" spans="1:16" s="11" customFormat="1" ht="6" customHeight="1" x14ac:dyDescent="0.25">
      <c r="G40" s="282"/>
      <c r="I40" s="98"/>
      <c r="K40" s="98"/>
      <c r="M40" s="98"/>
      <c r="N40" s="2"/>
    </row>
    <row r="41" spans="1:16" s="578" customFormat="1" ht="12.95" customHeight="1" x14ac:dyDescent="0.25">
      <c r="B41" s="790">
        <v>3</v>
      </c>
      <c r="C41" s="791"/>
      <c r="D41" s="792" t="s">
        <v>7</v>
      </c>
      <c r="E41" s="793"/>
      <c r="F41" s="793"/>
      <c r="G41" s="794"/>
      <c r="H41" s="792"/>
      <c r="I41" s="705">
        <f>SUM(I42:I50)</f>
        <v>8100000</v>
      </c>
      <c r="J41" s="792"/>
      <c r="K41" s="705">
        <f>SUM(K42:K50)</f>
        <v>0</v>
      </c>
      <c r="L41" s="792"/>
      <c r="M41" s="705">
        <f>SUM(M42:M50)</f>
        <v>8100000</v>
      </c>
      <c r="N41" s="50"/>
    </row>
    <row r="42" spans="1:16" ht="12.95" customHeight="1" x14ac:dyDescent="0.2">
      <c r="B42" s="584" t="s">
        <v>131</v>
      </c>
      <c r="C42" s="270"/>
      <c r="D42" s="271" t="s">
        <v>18</v>
      </c>
      <c r="E42" s="284">
        <f t="shared" ref="E42:E50" si="0">M42/$M$28</f>
        <v>3.4856700232378003E-2</v>
      </c>
      <c r="F42" s="108"/>
      <c r="G42" s="706">
        <f t="shared" ref="G42:G50" si="1">M42/$M$30</f>
        <v>2.7951285556644258E-2</v>
      </c>
      <c r="H42" s="271"/>
      <c r="I42" s="788">
        <v>900000</v>
      </c>
      <c r="J42" s="271"/>
      <c r="K42" s="788">
        <v>0</v>
      </c>
      <c r="L42" s="271"/>
      <c r="M42" s="267">
        <f t="shared" ref="M42:M55" si="2">I42+K42</f>
        <v>900000</v>
      </c>
      <c r="N42" s="50"/>
    </row>
    <row r="43" spans="1:16" ht="12.95" customHeight="1" x14ac:dyDescent="0.2">
      <c r="B43" s="286" t="s">
        <v>132</v>
      </c>
      <c r="C43" s="111"/>
      <c r="D43" s="112" t="s">
        <v>26</v>
      </c>
      <c r="E43" s="284">
        <f t="shared" si="0"/>
        <v>3.8729666924864445E-2</v>
      </c>
      <c r="F43" s="112"/>
      <c r="G43" s="706">
        <f t="shared" si="1"/>
        <v>3.105698395182695E-2</v>
      </c>
      <c r="H43" s="112"/>
      <c r="I43" s="185">
        <v>1000000</v>
      </c>
      <c r="J43" s="112"/>
      <c r="K43" s="185">
        <v>0</v>
      </c>
      <c r="L43" s="112"/>
      <c r="M43" s="184">
        <f t="shared" si="2"/>
        <v>1000000</v>
      </c>
      <c r="N43" s="50"/>
    </row>
    <row r="44" spans="1:16" ht="12.95" customHeight="1" x14ac:dyDescent="0.2">
      <c r="B44" s="286" t="s">
        <v>133</v>
      </c>
      <c r="C44" s="111"/>
      <c r="D44" s="112" t="s">
        <v>27</v>
      </c>
      <c r="E44" s="284">
        <f t="shared" si="0"/>
        <v>3.8729666924864445E-2</v>
      </c>
      <c r="F44" s="112"/>
      <c r="G44" s="706">
        <f t="shared" si="1"/>
        <v>3.105698395182695E-2</v>
      </c>
      <c r="H44" s="112"/>
      <c r="I44" s="185">
        <v>1000000</v>
      </c>
      <c r="J44" s="112"/>
      <c r="K44" s="185">
        <v>0</v>
      </c>
      <c r="L44" s="112"/>
      <c r="M44" s="184">
        <f t="shared" si="2"/>
        <v>1000000</v>
      </c>
      <c r="N44" s="50"/>
    </row>
    <row r="45" spans="1:16" ht="12.95" customHeight="1" x14ac:dyDescent="0.2">
      <c r="B45" s="286" t="s">
        <v>134</v>
      </c>
      <c r="C45" s="111"/>
      <c r="D45" s="112" t="s">
        <v>28</v>
      </c>
      <c r="E45" s="284">
        <f t="shared" si="0"/>
        <v>5.8094500387296667E-2</v>
      </c>
      <c r="F45" s="112"/>
      <c r="G45" s="706">
        <f t="shared" si="1"/>
        <v>4.6585475927740427E-2</v>
      </c>
      <c r="H45" s="112"/>
      <c r="I45" s="185">
        <v>1500000</v>
      </c>
      <c r="J45" s="112"/>
      <c r="K45" s="185">
        <v>0</v>
      </c>
      <c r="L45" s="112"/>
      <c r="M45" s="184">
        <f t="shared" si="2"/>
        <v>1500000</v>
      </c>
      <c r="N45" s="50"/>
      <c r="P45" s="789"/>
    </row>
    <row r="46" spans="1:16" ht="12.95" customHeight="1" x14ac:dyDescent="0.2">
      <c r="B46" s="286" t="s">
        <v>135</v>
      </c>
      <c r="C46" s="111"/>
      <c r="D46" s="112" t="s">
        <v>31</v>
      </c>
      <c r="E46" s="284">
        <f t="shared" si="0"/>
        <v>2.3237800154918668E-2</v>
      </c>
      <c r="F46" s="112"/>
      <c r="G46" s="706">
        <f t="shared" si="1"/>
        <v>1.863419037109617E-2</v>
      </c>
      <c r="H46" s="112"/>
      <c r="I46" s="185">
        <v>600000</v>
      </c>
      <c r="J46" s="112"/>
      <c r="K46" s="185">
        <v>0</v>
      </c>
      <c r="L46" s="112"/>
      <c r="M46" s="184">
        <f t="shared" si="2"/>
        <v>600000</v>
      </c>
      <c r="N46" s="50"/>
    </row>
    <row r="47" spans="1:16" ht="12.95" customHeight="1" x14ac:dyDescent="0.2">
      <c r="B47" s="286" t="s">
        <v>136</v>
      </c>
      <c r="C47" s="111"/>
      <c r="D47" s="112" t="s">
        <v>29</v>
      </c>
      <c r="E47" s="284">
        <f t="shared" si="0"/>
        <v>5.8094500387296667E-2</v>
      </c>
      <c r="F47" s="112"/>
      <c r="G47" s="706">
        <f t="shared" si="1"/>
        <v>4.6585475927740427E-2</v>
      </c>
      <c r="H47" s="112"/>
      <c r="I47" s="185">
        <v>1500000</v>
      </c>
      <c r="J47" s="112"/>
      <c r="K47" s="185">
        <v>0</v>
      </c>
      <c r="L47" s="112"/>
      <c r="M47" s="184">
        <f t="shared" si="2"/>
        <v>1500000</v>
      </c>
      <c r="N47" s="50"/>
    </row>
    <row r="48" spans="1:16" ht="12.95" customHeight="1" x14ac:dyDescent="0.2">
      <c r="B48" s="286" t="s">
        <v>137</v>
      </c>
      <c r="C48" s="111"/>
      <c r="D48" s="112" t="s">
        <v>30</v>
      </c>
      <c r="E48" s="284">
        <f t="shared" si="0"/>
        <v>1.1618900077459334E-2</v>
      </c>
      <c r="F48" s="112"/>
      <c r="G48" s="706">
        <f t="shared" si="1"/>
        <v>9.3170951855480848E-3</v>
      </c>
      <c r="H48" s="112"/>
      <c r="I48" s="185">
        <v>300000</v>
      </c>
      <c r="J48" s="112"/>
      <c r="K48" s="185">
        <v>0</v>
      </c>
      <c r="L48" s="112"/>
      <c r="M48" s="184">
        <f t="shared" si="2"/>
        <v>300000</v>
      </c>
      <c r="N48" s="50"/>
    </row>
    <row r="49" spans="2:14" ht="12.95" customHeight="1" x14ac:dyDescent="0.2">
      <c r="B49" s="286" t="s">
        <v>315</v>
      </c>
      <c r="C49" s="111"/>
      <c r="D49" s="112" t="s">
        <v>316</v>
      </c>
      <c r="E49" s="284">
        <f t="shared" si="0"/>
        <v>3.8729666924864445E-2</v>
      </c>
      <c r="F49" s="112"/>
      <c r="G49" s="706">
        <f t="shared" si="1"/>
        <v>3.105698395182695E-2</v>
      </c>
      <c r="H49" s="112"/>
      <c r="I49" s="185">
        <v>1000000</v>
      </c>
      <c r="J49" s="112"/>
      <c r="K49" s="185">
        <v>0</v>
      </c>
      <c r="L49" s="112"/>
      <c r="M49" s="184">
        <f t="shared" si="2"/>
        <v>1000000</v>
      </c>
      <c r="N49" s="50"/>
    </row>
    <row r="50" spans="2:14" ht="12.95" customHeight="1" x14ac:dyDescent="0.2">
      <c r="B50" s="286" t="s">
        <v>138</v>
      </c>
      <c r="C50" s="111"/>
      <c r="D50" s="112" t="s">
        <v>8</v>
      </c>
      <c r="E50" s="284">
        <f t="shared" si="0"/>
        <v>1.1618900077459334E-2</v>
      </c>
      <c r="F50" s="112"/>
      <c r="G50" s="706">
        <f t="shared" si="1"/>
        <v>9.3170951855480848E-3</v>
      </c>
      <c r="H50" s="112"/>
      <c r="I50" s="185">
        <v>300000</v>
      </c>
      <c r="J50" s="112"/>
      <c r="K50" s="185">
        <v>0</v>
      </c>
      <c r="L50" s="112"/>
      <c r="M50" s="184">
        <f t="shared" si="2"/>
        <v>300000</v>
      </c>
      <c r="N50" s="50"/>
    </row>
    <row r="51" spans="2:14" ht="6.95" customHeight="1" x14ac:dyDescent="0.2">
      <c r="B51" s="279"/>
      <c r="C51" s="13"/>
      <c r="D51" s="14"/>
      <c r="E51" s="14"/>
      <c r="F51" s="14"/>
      <c r="G51" s="14"/>
      <c r="H51" s="14"/>
      <c r="I51" s="99"/>
      <c r="J51" s="14"/>
      <c r="K51" s="99"/>
      <c r="L51" s="14"/>
      <c r="M51" s="99"/>
      <c r="N51" s="189"/>
    </row>
    <row r="52" spans="2:14" s="12" customFormat="1" ht="12.95" customHeight="1" x14ac:dyDescent="0.25">
      <c r="B52" s="800">
        <v>5</v>
      </c>
      <c r="C52" s="796"/>
      <c r="D52" s="797" t="s">
        <v>9</v>
      </c>
      <c r="E52" s="801"/>
      <c r="F52" s="801"/>
      <c r="G52" s="802"/>
      <c r="H52" s="797"/>
      <c r="I52" s="184">
        <f>SUM(I53:I56)</f>
        <v>1650000</v>
      </c>
      <c r="J52" s="797"/>
      <c r="K52" s="184">
        <f>SUM(K53:K56)</f>
        <v>0</v>
      </c>
      <c r="L52" s="797"/>
      <c r="M52" s="184">
        <f>SUM(M53:M56)</f>
        <v>1650000</v>
      </c>
      <c r="N52" s="579"/>
    </row>
    <row r="53" spans="2:14" ht="12.95" customHeight="1" x14ac:dyDescent="0.2">
      <c r="B53" s="584" t="s">
        <v>139</v>
      </c>
      <c r="C53" s="585"/>
      <c r="D53" s="586" t="s">
        <v>247</v>
      </c>
      <c r="E53" s="284">
        <f>M53/$M$28</f>
        <v>2.3237800154918668E-2</v>
      </c>
      <c r="F53" s="108"/>
      <c r="G53" s="706">
        <f>M53/$M$30</f>
        <v>1.863419037109617E-2</v>
      </c>
      <c r="H53" s="586"/>
      <c r="I53" s="799">
        <v>600000</v>
      </c>
      <c r="J53" s="586"/>
      <c r="K53" s="799">
        <v>0</v>
      </c>
      <c r="L53" s="586"/>
      <c r="M53" s="267">
        <f>I53+K53</f>
        <v>600000</v>
      </c>
      <c r="N53" s="50"/>
    </row>
    <row r="54" spans="2:14" ht="12.95" customHeight="1" x14ac:dyDescent="0.2">
      <c r="B54" s="286" t="s">
        <v>140</v>
      </c>
      <c r="C54" s="115"/>
      <c r="D54" s="116" t="s">
        <v>248</v>
      </c>
      <c r="E54" s="284">
        <f>M54/$M$28</f>
        <v>3.8729666924864445E-2</v>
      </c>
      <c r="F54" s="116"/>
      <c r="G54" s="706">
        <f>M54/$M$30</f>
        <v>3.105698395182695E-2</v>
      </c>
      <c r="H54" s="116"/>
      <c r="I54" s="186">
        <v>1000000</v>
      </c>
      <c r="J54" s="116"/>
      <c r="K54" s="186">
        <v>0</v>
      </c>
      <c r="L54" s="116"/>
      <c r="M54" s="184">
        <f t="shared" si="2"/>
        <v>1000000</v>
      </c>
      <c r="N54" s="50"/>
    </row>
    <row r="55" spans="2:14" ht="12.95" customHeight="1" x14ac:dyDescent="0.2">
      <c r="B55" s="286" t="s">
        <v>245</v>
      </c>
      <c r="C55" s="115"/>
      <c r="D55" s="116" t="s">
        <v>52</v>
      </c>
      <c r="E55" s="284">
        <f>M55/$M$28</f>
        <v>1.9364833462432224E-3</v>
      </c>
      <c r="F55" s="116"/>
      <c r="G55" s="706">
        <f>M55/$M$30</f>
        <v>1.5528491975913476E-3</v>
      </c>
      <c r="H55" s="116"/>
      <c r="I55" s="186">
        <v>50000</v>
      </c>
      <c r="J55" s="116"/>
      <c r="K55" s="186">
        <v>0</v>
      </c>
      <c r="L55" s="116"/>
      <c r="M55" s="184">
        <f t="shared" si="2"/>
        <v>50000</v>
      </c>
      <c r="N55" s="50"/>
    </row>
    <row r="56" spans="2:14" ht="12.95" customHeight="1" x14ac:dyDescent="0.2">
      <c r="B56" s="286" t="s">
        <v>246</v>
      </c>
      <c r="C56" s="115"/>
      <c r="D56" s="116" t="s">
        <v>128</v>
      </c>
      <c r="E56" s="284">
        <f>M56/$M$28</f>
        <v>0</v>
      </c>
      <c r="F56" s="116"/>
      <c r="G56" s="706">
        <f>M56/$M$30</f>
        <v>0</v>
      </c>
      <c r="H56" s="116"/>
      <c r="I56" s="116"/>
      <c r="J56" s="116"/>
      <c r="K56" s="186">
        <v>0</v>
      </c>
      <c r="L56" s="116"/>
      <c r="M56" s="184">
        <f>K56</f>
        <v>0</v>
      </c>
      <c r="N56" s="50"/>
    </row>
    <row r="57" spans="2:14" ht="6.95" customHeight="1" x14ac:dyDescent="0.2">
      <c r="B57" s="279"/>
      <c r="C57" s="13"/>
      <c r="D57" s="14"/>
      <c r="E57" s="14"/>
      <c r="F57" s="14"/>
      <c r="G57" s="14"/>
      <c r="H57" s="14"/>
      <c r="I57" s="99"/>
      <c r="J57" s="14"/>
      <c r="K57" s="99"/>
      <c r="L57" s="14"/>
      <c r="M57" s="99"/>
      <c r="N57" s="189"/>
    </row>
  </sheetData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 differentOddEven="1">
    <oddHeader>&amp;L&amp;"Arial,Fett"&amp;10&amp;K969696Vergabemodelle&amp;R&amp;"Arial,Fett"&amp;10&amp;K969696Vertrag Generalplanung - Anhang 3</oddHeader>
    <oddFooter>&amp;L&amp;"Arial,Fett"&amp;9Leitfaden Vergabe technische Beratung &amp; Planung &amp;C&amp;"Arial,Standard"&amp;7         &amp;R&amp;"Arial,Standard"&amp;9 Juni 2018                              Seite &amp;P von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tabColor theme="8" tint="0.79998168889431442"/>
  </sheetPr>
  <dimension ref="A1:N93"/>
  <sheetViews>
    <sheetView showGridLines="0" tabSelected="1" view="pageLayout" topLeftCell="A73" zoomScaleNormal="85" zoomScaleSheetLayoutView="10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5.7109375" style="1" customWidth="1"/>
    <col min="13" max="16384" width="11.5703125" style="1"/>
  </cols>
  <sheetData>
    <row r="1" spans="1:13" ht="5.0999999999999996" customHeight="1" x14ac:dyDescent="0.2"/>
    <row r="2" spans="1:13" s="54" customFormat="1" ht="35.1" customHeight="1" x14ac:dyDescent="0.2">
      <c r="C2" s="13"/>
      <c r="D2" s="103"/>
      <c r="G2" s="55"/>
      <c r="H2" s="820" t="s">
        <v>334</v>
      </c>
      <c r="I2" s="820"/>
      <c r="K2" s="62"/>
    </row>
    <row r="3" spans="1:13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3" s="11" customFormat="1" ht="6" customHeight="1" x14ac:dyDescent="0.25">
      <c r="J4" s="2"/>
      <c r="K4" s="2"/>
    </row>
    <row r="5" spans="1:13" s="11" customFormat="1" ht="12.95" customHeight="1" x14ac:dyDescent="0.25">
      <c r="E5" s="100" t="s">
        <v>82</v>
      </c>
      <c r="F5" s="45" t="s">
        <v>50</v>
      </c>
      <c r="H5" s="16" t="s">
        <v>16</v>
      </c>
      <c r="I5" s="117" t="s">
        <v>51</v>
      </c>
      <c r="K5" s="45"/>
    </row>
    <row r="6" spans="1:13" s="11" customFormat="1" ht="6" customHeight="1" x14ac:dyDescent="0.25">
      <c r="F6" s="98"/>
      <c r="I6" s="2"/>
      <c r="K6" s="2"/>
    </row>
    <row r="7" spans="1:13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F7/_1_9</f>
        <v>2.1739888766278866E-3</v>
      </c>
      <c r="F7" s="389">
        <f>_1</f>
        <v>70000</v>
      </c>
      <c r="G7" s="104"/>
      <c r="H7" s="135">
        <v>0</v>
      </c>
      <c r="I7" s="389">
        <f>F7*H7</f>
        <v>0</v>
      </c>
      <c r="J7" s="50"/>
    </row>
    <row r="8" spans="1:13" ht="2.25" customHeight="1" x14ac:dyDescent="0.25">
      <c r="B8" s="4"/>
      <c r="C8" s="6"/>
      <c r="D8" s="1"/>
      <c r="E8" s="161"/>
      <c r="F8" s="174"/>
      <c r="G8" s="1"/>
      <c r="H8" s="631"/>
      <c r="I8" s="174"/>
      <c r="J8" s="63"/>
      <c r="K8" s="554"/>
      <c r="L8" s="554"/>
      <c r="M8" s="554"/>
    </row>
    <row r="9" spans="1:13" s="12" customFormat="1" ht="12.75" customHeight="1" x14ac:dyDescent="0.2">
      <c r="A9" s="821">
        <v>2</v>
      </c>
      <c r="B9" s="821"/>
      <c r="C9" s="106"/>
      <c r="D9" s="107" t="s">
        <v>1</v>
      </c>
      <c r="E9" s="597">
        <f>F9/_1_9</f>
        <v>0.27951285556644256</v>
      </c>
      <c r="F9" s="389">
        <f>_2</f>
        <v>9000000</v>
      </c>
      <c r="G9" s="104"/>
      <c r="H9" s="135">
        <v>1</v>
      </c>
      <c r="I9" s="389">
        <f>F9*H9</f>
        <v>9000000</v>
      </c>
      <c r="J9" s="50"/>
    </row>
    <row r="10" spans="1:13" ht="2.25" customHeight="1" x14ac:dyDescent="0.25">
      <c r="B10" s="13"/>
      <c r="C10" s="13"/>
      <c r="D10" s="14"/>
      <c r="E10" s="161"/>
      <c r="F10" s="175"/>
      <c r="G10" s="1"/>
      <c r="H10" s="631"/>
      <c r="I10" s="175"/>
      <c r="J10" s="50"/>
      <c r="K10" s="554"/>
      <c r="L10" s="554"/>
      <c r="M10" s="554"/>
    </row>
    <row r="11" spans="1:13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F11/_1_9</f>
        <v>0.25156157000979829</v>
      </c>
      <c r="F11" s="389">
        <f>_3</f>
        <v>8100000</v>
      </c>
      <c r="G11" s="104"/>
      <c r="H11" s="135">
        <v>1</v>
      </c>
      <c r="I11" s="389">
        <f>F11*H11</f>
        <v>8100000</v>
      </c>
      <c r="J11" s="50"/>
    </row>
    <row r="12" spans="1:13" ht="2.25" customHeight="1" x14ac:dyDescent="0.25">
      <c r="B12" s="13"/>
      <c r="C12" s="13"/>
      <c r="D12" s="14"/>
      <c r="E12" s="161"/>
      <c r="F12" s="158"/>
      <c r="G12" s="1"/>
      <c r="H12" s="630"/>
      <c r="I12" s="158"/>
      <c r="J12" s="49"/>
      <c r="K12" s="554"/>
      <c r="L12" s="554"/>
      <c r="M12" s="554"/>
    </row>
    <row r="13" spans="1:13" s="11" customFormat="1" ht="12.75" customHeight="1" x14ac:dyDescent="0.2">
      <c r="A13" s="821">
        <v>4</v>
      </c>
      <c r="B13" s="821"/>
      <c r="C13" s="106"/>
      <c r="D13" s="107" t="s">
        <v>2</v>
      </c>
      <c r="E13" s="597">
        <f>F13/_1_9</f>
        <v>0.20187039568687518</v>
      </c>
      <c r="F13" s="389">
        <f>_4</f>
        <v>6500000</v>
      </c>
      <c r="G13" s="104"/>
      <c r="H13" s="135">
        <v>1</v>
      </c>
      <c r="I13" s="389">
        <f>F13*H13</f>
        <v>6500000</v>
      </c>
      <c r="J13" s="50"/>
    </row>
    <row r="14" spans="1:13" ht="2.25" customHeight="1" x14ac:dyDescent="0.25">
      <c r="B14" s="4"/>
      <c r="C14" s="6"/>
      <c r="D14" s="1"/>
      <c r="E14" s="161"/>
      <c r="F14" s="158"/>
      <c r="G14" s="1"/>
      <c r="H14" s="632"/>
      <c r="I14" s="158"/>
      <c r="J14" s="48"/>
      <c r="K14" s="43"/>
      <c r="L14" s="554"/>
      <c r="M14" s="554"/>
    </row>
    <row r="15" spans="1:13" s="12" customFormat="1" ht="12.95" customHeight="1" x14ac:dyDescent="0.2">
      <c r="A15" s="821">
        <v>5</v>
      </c>
      <c r="B15" s="821"/>
      <c r="C15" s="106"/>
      <c r="D15" s="107" t="s">
        <v>9</v>
      </c>
      <c r="E15" s="597">
        <f>F15/_1_9</f>
        <v>5.1244023520514471E-2</v>
      </c>
      <c r="F15" s="389">
        <f>_5</f>
        <v>1650000</v>
      </c>
      <c r="G15" s="104"/>
      <c r="H15" s="135">
        <v>0</v>
      </c>
      <c r="I15" s="389">
        <f>F15*H15</f>
        <v>0</v>
      </c>
      <c r="J15" s="50"/>
    </row>
    <row r="16" spans="1:13" ht="2.25" customHeight="1" x14ac:dyDescent="0.25">
      <c r="B16" s="13"/>
      <c r="C16" s="13"/>
      <c r="D16" s="14"/>
      <c r="E16" s="161"/>
      <c r="F16" s="175"/>
      <c r="G16" s="1"/>
      <c r="H16" s="631"/>
      <c r="I16" s="175"/>
      <c r="J16" s="50"/>
      <c r="K16" s="43"/>
      <c r="L16" s="554"/>
      <c r="M16" s="554"/>
    </row>
    <row r="17" spans="1:13" s="11" customFormat="1" ht="12.75" customHeight="1" x14ac:dyDescent="0.2">
      <c r="A17" s="821">
        <v>6</v>
      </c>
      <c r="B17" s="821"/>
      <c r="C17" s="106"/>
      <c r="D17" s="107" t="s">
        <v>3</v>
      </c>
      <c r="E17" s="597">
        <f>F17/_1_9</f>
        <v>1.5528491975913475E-2</v>
      </c>
      <c r="F17" s="389">
        <f>_6</f>
        <v>500000</v>
      </c>
      <c r="G17" s="104"/>
      <c r="H17" s="135">
        <v>0</v>
      </c>
      <c r="I17" s="389">
        <f>F17*H17</f>
        <v>0</v>
      </c>
      <c r="J17" s="50"/>
    </row>
    <row r="18" spans="1:13" ht="2.25" customHeight="1" x14ac:dyDescent="0.25">
      <c r="B18" s="17"/>
      <c r="C18" s="5"/>
      <c r="D18" s="1"/>
      <c r="E18" s="164"/>
      <c r="F18" s="158"/>
      <c r="G18" s="1"/>
      <c r="H18" s="632"/>
      <c r="I18" s="158"/>
      <c r="J18" s="50"/>
      <c r="K18" s="18"/>
      <c r="L18" s="555"/>
      <c r="M18" s="555"/>
    </row>
    <row r="19" spans="1:13" s="12" customFormat="1" ht="12.95" customHeight="1" x14ac:dyDescent="0.2">
      <c r="A19" s="821">
        <v>7</v>
      </c>
      <c r="B19" s="821"/>
      <c r="C19" s="106"/>
      <c r="D19" s="107" t="s">
        <v>110</v>
      </c>
      <c r="E19" s="597">
        <f>F19/_1_9</f>
        <v>0.14729944861863917</v>
      </c>
      <c r="F19" s="389">
        <f>_7</f>
        <v>4742876.7985686567</v>
      </c>
      <c r="G19" s="104"/>
      <c r="H19" s="135">
        <v>0</v>
      </c>
      <c r="I19" s="389">
        <f>F19*H19</f>
        <v>0</v>
      </c>
      <c r="J19" s="50"/>
      <c r="K19" s="3"/>
    </row>
    <row r="20" spans="1:13" ht="2.25" customHeight="1" x14ac:dyDescent="0.25">
      <c r="B20" s="13"/>
      <c r="C20" s="13"/>
      <c r="D20" s="14"/>
      <c r="E20" s="164"/>
      <c r="F20" s="175"/>
      <c r="G20" s="1"/>
      <c r="H20" s="631"/>
      <c r="I20" s="175"/>
      <c r="J20" s="50"/>
      <c r="K20" s="18"/>
      <c r="L20" s="555"/>
      <c r="M20" s="554"/>
    </row>
    <row r="21" spans="1:13" s="12" customFormat="1" ht="12.95" customHeight="1" x14ac:dyDescent="0.2">
      <c r="A21" s="821">
        <v>8</v>
      </c>
      <c r="B21" s="821"/>
      <c r="C21" s="106"/>
      <c r="D21" s="107" t="s">
        <v>105</v>
      </c>
      <c r="E21" s="597">
        <f>F21/_1_9</f>
        <v>1.1180514222657702E-3</v>
      </c>
      <c r="F21" s="389">
        <f>_8</f>
        <v>36000</v>
      </c>
      <c r="G21" s="104"/>
      <c r="H21" s="135">
        <v>0</v>
      </c>
      <c r="I21" s="389">
        <f>F21*H21</f>
        <v>0</v>
      </c>
      <c r="J21" s="50"/>
      <c r="K21" s="187"/>
    </row>
    <row r="22" spans="1:13" ht="2.25" customHeight="1" x14ac:dyDescent="0.25">
      <c r="B22" s="13"/>
      <c r="C22" s="13"/>
      <c r="D22" s="14"/>
      <c r="E22" s="164"/>
      <c r="F22" s="158"/>
      <c r="G22" s="1"/>
      <c r="H22" s="630"/>
      <c r="I22" s="158"/>
      <c r="J22" s="49"/>
      <c r="K22" s="30"/>
      <c r="L22" s="555"/>
      <c r="M22" s="554"/>
    </row>
    <row r="23" spans="1:13" s="12" customFormat="1" ht="12.95" customHeight="1" x14ac:dyDescent="0.2">
      <c r="A23" s="821">
        <v>9</v>
      </c>
      <c r="B23" s="821"/>
      <c r="C23" s="106"/>
      <c r="D23" s="107" t="s">
        <v>10</v>
      </c>
      <c r="E23" s="597">
        <f>F23/_1_9</f>
        <v>4.9691174322923123E-2</v>
      </c>
      <c r="F23" s="389">
        <f>_9</f>
        <v>1600000</v>
      </c>
      <c r="G23" s="104"/>
      <c r="H23" s="135">
        <v>0.05</v>
      </c>
      <c r="I23" s="389">
        <f>F23*H23</f>
        <v>80000</v>
      </c>
      <c r="J23" s="50"/>
      <c r="K23" s="30"/>
    </row>
    <row r="24" spans="1:13" ht="12" customHeight="1" x14ac:dyDescent="0.2">
      <c r="B24" s="17"/>
      <c r="C24" s="5"/>
      <c r="D24" s="1"/>
      <c r="E24" s="47"/>
      <c r="F24" s="1"/>
      <c r="H24" s="1"/>
      <c r="I24" s="1"/>
      <c r="K24" s="1"/>
    </row>
    <row r="25" spans="1:13" ht="12.95" customHeight="1" x14ac:dyDescent="0.2">
      <c r="A25" s="538" t="s">
        <v>12</v>
      </c>
      <c r="B25" s="539"/>
      <c r="C25" s="539"/>
      <c r="D25" s="539"/>
      <c r="E25" s="148">
        <f>SUM(E3:E23)</f>
        <v>0.99999999999999989</v>
      </c>
      <c r="F25" s="146">
        <f>SUM(F7:F23)</f>
        <v>32198876.798568659</v>
      </c>
      <c r="H25" s="216"/>
      <c r="I25" s="146">
        <f>SUM(I7:I23)</f>
        <v>23680000</v>
      </c>
      <c r="K25" s="30"/>
    </row>
    <row r="26" spans="1:13" ht="4.5" customHeight="1" x14ac:dyDescent="0.25">
      <c r="B26" s="13"/>
      <c r="C26" s="13"/>
      <c r="D26" s="14"/>
      <c r="E26" s="47"/>
      <c r="F26" s="14"/>
      <c r="G26" s="1"/>
      <c r="H26" s="19"/>
      <c r="I26" s="15"/>
      <c r="J26" s="18"/>
      <c r="K26" s="30"/>
      <c r="L26" s="555"/>
      <c r="M26" s="554"/>
    </row>
    <row r="27" spans="1:13" s="11" customFormat="1" ht="12.95" customHeight="1" x14ac:dyDescent="0.2">
      <c r="A27" s="821"/>
      <c r="B27" s="821"/>
      <c r="C27" s="106" t="s">
        <v>432</v>
      </c>
      <c r="D27" s="107"/>
      <c r="E27" s="803"/>
      <c r="F27" s="389">
        <f>_mvB</f>
        <v>110000</v>
      </c>
      <c r="G27" s="104"/>
      <c r="H27" s="135">
        <v>1</v>
      </c>
      <c r="I27" s="389">
        <f>F27*H27</f>
        <v>110000</v>
      </c>
      <c r="J27" s="50"/>
    </row>
    <row r="28" spans="1:13" ht="4.5" customHeight="1" x14ac:dyDescent="0.2">
      <c r="B28" s="13"/>
      <c r="C28" s="13"/>
      <c r="D28" s="14"/>
      <c r="E28" s="47"/>
      <c r="F28" s="14"/>
      <c r="G28" s="1"/>
      <c r="H28" s="19"/>
      <c r="I28" s="15"/>
      <c r="K28" s="63"/>
    </row>
    <row r="29" spans="1:13" s="20" customFormat="1" ht="13.5" customHeight="1" x14ac:dyDescent="0.25">
      <c r="A29" s="321" t="s">
        <v>32</v>
      </c>
      <c r="B29" s="539"/>
      <c r="C29" s="539"/>
      <c r="D29" s="539"/>
      <c r="E29" s="539"/>
      <c r="F29" s="539"/>
      <c r="G29" s="539"/>
      <c r="H29" s="320"/>
      <c r="I29" s="146">
        <f>SUM(I25:I27)</f>
        <v>23790000</v>
      </c>
      <c r="K29" s="64"/>
    </row>
    <row r="30" spans="1:13" ht="13.5" customHeight="1" x14ac:dyDescent="0.2">
      <c r="A30" s="25"/>
      <c r="B30" s="25"/>
      <c r="C30" s="25"/>
      <c r="D30" s="1"/>
      <c r="E30" s="1"/>
      <c r="F30" s="197"/>
      <c r="G30" s="14"/>
      <c r="H30" s="198"/>
      <c r="I30" s="309"/>
      <c r="K30" s="58"/>
    </row>
    <row r="31" spans="1:13" ht="12.75" customHeight="1" x14ac:dyDescent="0.2">
      <c r="A31" s="340" t="s">
        <v>83</v>
      </c>
      <c r="B31" s="341"/>
      <c r="C31" s="341"/>
      <c r="D31" s="341"/>
      <c r="E31" s="341"/>
      <c r="F31" s="341"/>
      <c r="G31" s="341"/>
      <c r="H31" s="341"/>
      <c r="I31" s="342"/>
      <c r="J31" s="308"/>
      <c r="K31" s="18"/>
    </row>
    <row r="32" spans="1:13" ht="4.5" customHeight="1" x14ac:dyDescent="0.2">
      <c r="A32" s="195"/>
      <c r="B32" s="196"/>
      <c r="C32" s="196"/>
      <c r="D32" s="196"/>
      <c r="E32" s="196"/>
      <c r="F32" s="196"/>
      <c r="G32" s="196"/>
      <c r="H32" s="196"/>
      <c r="I32" s="57"/>
      <c r="J32" s="220"/>
      <c r="K32" s="18"/>
    </row>
    <row r="33" spans="1:13" ht="12.75" customHeight="1" x14ac:dyDescent="0.2">
      <c r="A33" s="25"/>
      <c r="B33" s="25"/>
      <c r="C33" s="25"/>
      <c r="D33" s="1"/>
      <c r="E33" s="1"/>
      <c r="F33" s="197" t="s">
        <v>5</v>
      </c>
      <c r="G33" s="14"/>
      <c r="H33" s="198" t="s">
        <v>4</v>
      </c>
      <c r="I33" s="309"/>
      <c r="K33" s="58"/>
    </row>
    <row r="34" spans="1:13" ht="12.75" customHeight="1" x14ac:dyDescent="0.2">
      <c r="B34" s="26" t="s">
        <v>46</v>
      </c>
      <c r="C34" s="60"/>
      <c r="D34" s="51"/>
      <c r="E34" s="51"/>
      <c r="F34" s="151">
        <v>20</v>
      </c>
      <c r="G34" s="199"/>
      <c r="H34" s="199" t="s">
        <v>58</v>
      </c>
      <c r="I34" s="309"/>
      <c r="K34" s="58"/>
    </row>
    <row r="35" spans="1:13" ht="12.75" customHeight="1" x14ac:dyDescent="0.2">
      <c r="B35" s="27" t="s">
        <v>47</v>
      </c>
      <c r="C35" s="61"/>
      <c r="D35" s="52"/>
      <c r="E35" s="52"/>
      <c r="F35" s="151">
        <v>2</v>
      </c>
      <c r="G35" s="200"/>
      <c r="H35" s="200" t="s">
        <v>6</v>
      </c>
      <c r="I35" s="309"/>
      <c r="K35" s="58"/>
    </row>
    <row r="36" spans="1:13" ht="12.75" customHeight="1" x14ac:dyDescent="0.2">
      <c r="B36" s="27" t="s">
        <v>48</v>
      </c>
      <c r="C36" s="61"/>
      <c r="D36" s="52"/>
      <c r="E36" s="52"/>
      <c r="F36" s="151">
        <v>1</v>
      </c>
      <c r="G36" s="200"/>
      <c r="H36" s="200" t="s">
        <v>6</v>
      </c>
      <c r="I36" s="309"/>
      <c r="K36" s="58"/>
    </row>
    <row r="37" spans="1:13" ht="12.75" customHeight="1" x14ac:dyDescent="0.2">
      <c r="B37" s="27" t="s">
        <v>49</v>
      </c>
      <c r="C37" s="52"/>
      <c r="D37" s="52"/>
      <c r="E37" s="52"/>
      <c r="F37" s="151">
        <v>2</v>
      </c>
      <c r="G37" s="200"/>
      <c r="H37" s="200" t="s">
        <v>6</v>
      </c>
      <c r="I37" s="309"/>
      <c r="K37" s="58"/>
    </row>
    <row r="38" spans="1:13" ht="4.5" customHeight="1" x14ac:dyDescent="0.2">
      <c r="A38" s="40"/>
      <c r="B38" s="40"/>
      <c r="C38" s="40"/>
      <c r="D38" s="1"/>
      <c r="E38" s="1"/>
      <c r="F38" s="201"/>
      <c r="H38" s="201"/>
      <c r="I38" s="309"/>
      <c r="K38" s="58"/>
    </row>
    <row r="39" spans="1:13" ht="12.75" customHeight="1" x14ac:dyDescent="0.25">
      <c r="B39" s="27" t="s">
        <v>141</v>
      </c>
      <c r="C39" s="61"/>
      <c r="D39" s="52"/>
      <c r="E39" s="52"/>
      <c r="F39" s="563"/>
      <c r="G39" s="329"/>
      <c r="H39" s="200" t="s">
        <v>6</v>
      </c>
      <c r="I39" s="309"/>
      <c r="J39" s="58"/>
      <c r="K39" s="554"/>
      <c r="L39" s="554"/>
      <c r="M39" s="554"/>
    </row>
    <row r="40" spans="1:13" ht="12.75" customHeight="1" x14ac:dyDescent="0.25">
      <c r="B40" s="27" t="s">
        <v>185</v>
      </c>
      <c r="C40" s="61"/>
      <c r="D40" s="52"/>
      <c r="E40" s="52"/>
      <c r="F40" s="563"/>
      <c r="G40" s="329"/>
      <c r="H40" s="200" t="s">
        <v>57</v>
      </c>
      <c r="I40" s="309"/>
      <c r="J40" s="58"/>
      <c r="K40" s="554"/>
      <c r="L40" s="554"/>
      <c r="M40" s="554"/>
    </row>
    <row r="41" spans="1:13" ht="12.75" customHeight="1" x14ac:dyDescent="0.25">
      <c r="B41" s="27" t="s">
        <v>143</v>
      </c>
      <c r="C41" s="61"/>
      <c r="D41" s="52"/>
      <c r="E41" s="52"/>
      <c r="F41" s="563"/>
      <c r="G41" s="329"/>
      <c r="H41" s="200" t="s">
        <v>57</v>
      </c>
      <c r="I41" s="309"/>
      <c r="J41" s="58"/>
      <c r="K41" s="554"/>
      <c r="L41" s="554"/>
      <c r="M41" s="554"/>
    </row>
    <row r="42" spans="1:13" ht="12.75" customHeight="1" x14ac:dyDescent="0.25">
      <c r="B42" s="27" t="s">
        <v>144</v>
      </c>
      <c r="C42" s="61"/>
      <c r="D42" s="52"/>
      <c r="E42" s="52"/>
      <c r="F42" s="563"/>
      <c r="G42" s="329"/>
      <c r="H42" s="200" t="s">
        <v>57</v>
      </c>
      <c r="I42" s="309"/>
      <c r="J42" s="58"/>
      <c r="K42" s="554"/>
      <c r="L42" s="554"/>
      <c r="M42" s="554"/>
    </row>
    <row r="43" spans="1:13" ht="12.75" customHeight="1" x14ac:dyDescent="0.25">
      <c r="B43" s="27" t="s">
        <v>181</v>
      </c>
      <c r="C43" s="61"/>
      <c r="D43" s="52"/>
      <c r="E43" s="52"/>
      <c r="F43" s="563"/>
      <c r="G43" s="329"/>
      <c r="H43" s="200" t="s">
        <v>188</v>
      </c>
      <c r="I43" s="309"/>
      <c r="J43" s="58"/>
      <c r="K43" s="554"/>
      <c r="L43" s="554"/>
      <c r="M43" s="554"/>
    </row>
    <row r="44" spans="1:13" ht="12.75" customHeight="1" x14ac:dyDescent="0.25">
      <c r="B44" s="27" t="s">
        <v>183</v>
      </c>
      <c r="C44" s="61"/>
      <c r="D44" s="52"/>
      <c r="E44" s="52"/>
      <c r="F44" s="563"/>
      <c r="G44" s="329"/>
      <c r="H44" s="200" t="s">
        <v>173</v>
      </c>
      <c r="I44" s="309"/>
      <c r="J44" s="58"/>
      <c r="K44" s="554"/>
      <c r="L44" s="554"/>
      <c r="M44" s="554"/>
    </row>
    <row r="45" spans="1:13" ht="12.75" customHeight="1" x14ac:dyDescent="0.25">
      <c r="B45" s="27" t="s">
        <v>182</v>
      </c>
      <c r="C45" s="61"/>
      <c r="D45" s="52"/>
      <c r="E45" s="52"/>
      <c r="F45" s="563"/>
      <c r="G45" s="329"/>
      <c r="H45" s="200" t="s">
        <v>6</v>
      </c>
      <c r="I45" s="309"/>
      <c r="J45" s="1"/>
      <c r="K45" s="554"/>
    </row>
    <row r="46" spans="1:13" ht="4.5" customHeight="1" x14ac:dyDescent="0.2">
      <c r="A46" s="40"/>
      <c r="B46" s="40"/>
      <c r="C46" s="1"/>
      <c r="D46" s="203"/>
      <c r="E46" s="203"/>
      <c r="F46" s="203"/>
      <c r="H46" s="203"/>
      <c r="I46" s="309"/>
      <c r="K46" s="1"/>
    </row>
    <row r="47" spans="1:13" ht="12.75" customHeight="1" x14ac:dyDescent="0.2">
      <c r="B47" s="25" t="s">
        <v>45</v>
      </c>
      <c r="C47" s="1"/>
      <c r="D47" s="202"/>
      <c r="E47" s="203"/>
      <c r="F47" s="204">
        <f>SUM(F34:F45)</f>
        <v>25</v>
      </c>
      <c r="H47" s="203"/>
      <c r="I47" s="309"/>
      <c r="K47" s="1"/>
    </row>
    <row r="48" spans="1:13" ht="12.95" customHeight="1" x14ac:dyDescent="0.2">
      <c r="B48" s="40"/>
      <c r="C48" s="1"/>
      <c r="D48" s="203"/>
      <c r="E48" s="203"/>
      <c r="F48" s="203"/>
      <c r="H48" s="203"/>
      <c r="I48" s="309"/>
      <c r="K48" s="1"/>
    </row>
    <row r="49" spans="1:11" ht="12.95" customHeight="1" x14ac:dyDescent="0.2">
      <c r="A49" s="356" t="s">
        <v>172</v>
      </c>
      <c r="B49" s="340"/>
      <c r="C49" s="341"/>
      <c r="D49" s="341"/>
      <c r="E49" s="341"/>
      <c r="F49" s="341"/>
      <c r="G49" s="343"/>
      <c r="H49" s="341"/>
      <c r="I49" s="358"/>
      <c r="K49" s="18"/>
    </row>
    <row r="50" spans="1:11" ht="4.5" customHeight="1" x14ac:dyDescent="0.2">
      <c r="A50" s="205"/>
      <c r="B50" s="205"/>
      <c r="C50" s="205"/>
      <c r="D50" s="205"/>
      <c r="F50" s="8"/>
      <c r="I50" s="1"/>
      <c r="K50" s="18"/>
    </row>
    <row r="51" spans="1:11" ht="14.25" customHeight="1" x14ac:dyDescent="0.2">
      <c r="A51" s="206" t="s">
        <v>11</v>
      </c>
      <c r="B51" s="206"/>
      <c r="C51" s="1"/>
      <c r="F51" s="230">
        <f>I29</f>
        <v>23790000</v>
      </c>
      <c r="I51" s="1"/>
      <c r="K51" s="18"/>
    </row>
    <row r="52" spans="1:11" ht="14.25" customHeight="1" x14ac:dyDescent="0.25">
      <c r="A52" s="28" t="s">
        <v>67</v>
      </c>
      <c r="B52" s="28"/>
      <c r="C52" s="28"/>
      <c r="D52" s="1"/>
      <c r="E52" s="1"/>
      <c r="F52" s="131">
        <f>0.021*F47+0.761</f>
        <v>1.286</v>
      </c>
      <c r="H52" s="155"/>
      <c r="I52" s="407"/>
      <c r="K52" s="18"/>
    </row>
    <row r="53" spans="1:11" ht="14.25" customHeight="1" x14ac:dyDescent="0.25">
      <c r="A53" s="28" t="s">
        <v>71</v>
      </c>
      <c r="B53" s="28"/>
      <c r="C53" s="28"/>
      <c r="D53" s="1"/>
      <c r="E53" s="1"/>
      <c r="F53" s="207">
        <f>ROUND(110.07*F51^(-0.41731)*F52/100,4)</f>
        <v>1.1999999999999999E-3</v>
      </c>
      <c r="G53" s="427" t="s">
        <v>107</v>
      </c>
      <c r="H53" s="234"/>
      <c r="I53" s="407"/>
      <c r="K53" s="18"/>
    </row>
    <row r="54" spans="1:11" ht="14.25" customHeight="1" x14ac:dyDescent="0.3">
      <c r="A54" s="311" t="s">
        <v>198</v>
      </c>
      <c r="B54" s="25"/>
      <c r="C54" s="25"/>
      <c r="D54" s="312"/>
      <c r="E54" s="208"/>
      <c r="F54" s="323">
        <f>F51*F53</f>
        <v>28547.999999999996</v>
      </c>
      <c r="G54" s="433" t="s">
        <v>174</v>
      </c>
      <c r="H54" s="209"/>
      <c r="I54" s="1"/>
      <c r="J54" s="15"/>
      <c r="K54" s="18"/>
    </row>
    <row r="55" spans="1:11" ht="15" customHeight="1" x14ac:dyDescent="0.2">
      <c r="A55" s="311"/>
      <c r="B55" s="25"/>
      <c r="C55" s="25"/>
      <c r="D55" s="312"/>
      <c r="E55" s="208"/>
      <c r="F55" s="209"/>
      <c r="G55" s="209"/>
      <c r="H55" s="209"/>
      <c r="I55" s="326"/>
      <c r="J55" s="15"/>
      <c r="K55" s="18"/>
    </row>
    <row r="56" spans="1:11" ht="12.95" customHeight="1" x14ac:dyDescent="0.2">
      <c r="A56" s="409" t="s">
        <v>170</v>
      </c>
      <c r="B56" s="351"/>
      <c r="C56" s="351"/>
      <c r="D56" s="352"/>
      <c r="E56" s="352"/>
      <c r="F56" s="353"/>
      <c r="G56" s="343"/>
      <c r="H56" s="353"/>
      <c r="I56" s="342"/>
      <c r="J56" s="41"/>
      <c r="K56" s="18"/>
    </row>
    <row r="57" spans="1:11" ht="4.5" customHeight="1" x14ac:dyDescent="0.2">
      <c r="A57" s="325"/>
      <c r="B57" s="40"/>
      <c r="C57" s="40"/>
      <c r="D57" s="208"/>
      <c r="E57" s="208"/>
      <c r="F57" s="209"/>
      <c r="G57" s="42"/>
      <c r="H57" s="209"/>
      <c r="I57" s="57"/>
      <c r="J57" s="41"/>
      <c r="K57" s="18"/>
    </row>
    <row r="58" spans="1:11" ht="12.75" customHeight="1" x14ac:dyDescent="0.25">
      <c r="A58" s="210" t="s">
        <v>98</v>
      </c>
      <c r="B58" s="210"/>
      <c r="C58" s="211"/>
      <c r="D58" s="1"/>
      <c r="E58" s="324">
        <v>0.03</v>
      </c>
      <c r="F58" s="243">
        <v>0.03</v>
      </c>
      <c r="H58" s="212">
        <v>1</v>
      </c>
      <c r="I58" s="635">
        <f>IF($F$51=0,"-",$F$54*F58)</f>
        <v>856.43999999999983</v>
      </c>
      <c r="J58" s="188"/>
    </row>
    <row r="59" spans="1:11" ht="12.75" customHeight="1" x14ac:dyDescent="0.25">
      <c r="A59" s="210" t="s">
        <v>36</v>
      </c>
      <c r="B59" s="210"/>
      <c r="C59" s="211"/>
      <c r="D59" s="1"/>
      <c r="E59" s="324">
        <v>0.17</v>
      </c>
      <c r="F59" s="244">
        <v>0.17</v>
      </c>
      <c r="H59" s="212">
        <v>2</v>
      </c>
      <c r="I59" s="635">
        <f t="shared" ref="I59:I70" si="0">IF($F$51=0,"-",$F$54*F59)</f>
        <v>4853.16</v>
      </c>
      <c r="J59" s="188"/>
    </row>
    <row r="60" spans="1:11" ht="12.75" customHeight="1" x14ac:dyDescent="0.25">
      <c r="A60" s="210" t="s">
        <v>37</v>
      </c>
      <c r="B60" s="210"/>
      <c r="C60" s="211"/>
      <c r="D60" s="1"/>
      <c r="E60" s="324">
        <v>0.35</v>
      </c>
      <c r="F60" s="244">
        <v>0.35</v>
      </c>
      <c r="H60" s="212">
        <v>3</v>
      </c>
      <c r="I60" s="635">
        <f t="shared" si="0"/>
        <v>9991.7999999999975</v>
      </c>
      <c r="J60" s="188"/>
    </row>
    <row r="61" spans="1:11" ht="12.75" customHeight="1" x14ac:dyDescent="0.25">
      <c r="A61" s="210" t="s">
        <v>38</v>
      </c>
      <c r="B61" s="210"/>
      <c r="C61" s="211"/>
      <c r="D61" s="1"/>
      <c r="E61" s="324">
        <v>0.05</v>
      </c>
      <c r="F61" s="244">
        <v>0.05</v>
      </c>
      <c r="H61" s="212">
        <v>4</v>
      </c>
      <c r="I61" s="635">
        <f t="shared" si="0"/>
        <v>1427.3999999999999</v>
      </c>
      <c r="J61" s="188"/>
    </row>
    <row r="62" spans="1:11" ht="12.75" customHeight="1" x14ac:dyDescent="0.25">
      <c r="A62" s="210" t="s">
        <v>69</v>
      </c>
      <c r="B62" s="210"/>
      <c r="C62" s="211"/>
      <c r="D62" s="1"/>
      <c r="E62" s="324">
        <v>0.27</v>
      </c>
      <c r="F62" s="244">
        <v>0.27</v>
      </c>
      <c r="H62" s="212">
        <v>5</v>
      </c>
      <c r="I62" s="635">
        <f t="shared" si="0"/>
        <v>7707.9599999999991</v>
      </c>
      <c r="J62" s="188"/>
    </row>
    <row r="63" spans="1:11" ht="12.75" customHeight="1" x14ac:dyDescent="0.25">
      <c r="A63" s="210" t="s">
        <v>40</v>
      </c>
      <c r="B63" s="210"/>
      <c r="C63" s="211"/>
      <c r="D63" s="1"/>
      <c r="E63" s="324">
        <v>0.02</v>
      </c>
      <c r="F63" s="244">
        <v>0.02</v>
      </c>
      <c r="H63" s="212">
        <v>6</v>
      </c>
      <c r="I63" s="635">
        <f t="shared" si="0"/>
        <v>570.95999999999992</v>
      </c>
      <c r="J63" s="188"/>
    </row>
    <row r="64" spans="1:11" ht="12.75" customHeight="1" x14ac:dyDescent="0.25">
      <c r="A64" s="210" t="s">
        <v>61</v>
      </c>
      <c r="B64" s="210"/>
      <c r="C64" s="211"/>
      <c r="D64" s="1"/>
      <c r="E64" s="324">
        <v>0.02</v>
      </c>
      <c r="F64" s="244">
        <v>0.02</v>
      </c>
      <c r="H64" s="212"/>
      <c r="I64" s="635">
        <f t="shared" si="0"/>
        <v>570.95999999999992</v>
      </c>
      <c r="J64" s="188"/>
    </row>
    <row r="65" spans="1:14" ht="12.75" customHeight="1" x14ac:dyDescent="0.2">
      <c r="A65" s="210" t="s">
        <v>54</v>
      </c>
      <c r="B65" s="210"/>
      <c r="C65" s="211"/>
      <c r="D65" s="1"/>
      <c r="E65" s="324">
        <v>0.09</v>
      </c>
      <c r="F65" s="244">
        <v>0.09</v>
      </c>
      <c r="H65" s="212">
        <v>7</v>
      </c>
      <c r="I65" s="635">
        <f t="shared" si="0"/>
        <v>2569.3199999999997</v>
      </c>
      <c r="J65" s="659"/>
      <c r="K65" s="666"/>
    </row>
    <row r="66" spans="1:14" ht="12.75" customHeight="1" x14ac:dyDescent="0.25">
      <c r="A66" s="193" t="s">
        <v>70</v>
      </c>
      <c r="B66" s="193"/>
      <c r="C66" s="211"/>
      <c r="D66" s="1"/>
      <c r="E66" s="324">
        <v>0</v>
      </c>
      <c r="F66" s="244">
        <v>0</v>
      </c>
      <c r="H66" s="212">
        <v>8</v>
      </c>
      <c r="I66" s="635">
        <f t="shared" si="0"/>
        <v>0</v>
      </c>
      <c r="J66" s="188"/>
    </row>
    <row r="67" spans="1:14" ht="12.75" customHeight="1" x14ac:dyDescent="0.25">
      <c r="A67" s="193" t="s">
        <v>55</v>
      </c>
      <c r="B67" s="193"/>
      <c r="C67" s="420"/>
      <c r="D67" s="1"/>
      <c r="E67" s="324">
        <v>0</v>
      </c>
      <c r="F67" s="429">
        <v>0</v>
      </c>
      <c r="H67" s="296">
        <v>9</v>
      </c>
      <c r="I67" s="635">
        <f t="shared" si="0"/>
        <v>0</v>
      </c>
      <c r="J67" s="419"/>
      <c r="K67" s="709" t="s">
        <v>290</v>
      </c>
    </row>
    <row r="68" spans="1:14" s="303" customFormat="1" ht="12.75" customHeight="1" x14ac:dyDescent="0.25">
      <c r="A68" s="580" t="s">
        <v>164</v>
      </c>
      <c r="B68" s="580"/>
      <c r="C68" s="581"/>
      <c r="E68" s="582"/>
      <c r="F68" s="609">
        <v>0</v>
      </c>
      <c r="H68" s="583"/>
      <c r="I68" s="636">
        <f t="shared" si="0"/>
        <v>0</v>
      </c>
      <c r="J68" s="301"/>
      <c r="K68" s="719" t="s">
        <v>299</v>
      </c>
      <c r="L68" s="302"/>
      <c r="M68" s="302"/>
    </row>
    <row r="69" spans="1:14" s="303" customFormat="1" ht="12.75" customHeight="1" x14ac:dyDescent="0.25">
      <c r="A69" s="580" t="s">
        <v>164</v>
      </c>
      <c r="B69" s="580"/>
      <c r="C69" s="581"/>
      <c r="E69" s="582"/>
      <c r="F69" s="609">
        <v>0</v>
      </c>
      <c r="H69" s="583"/>
      <c r="I69" s="683">
        <f t="shared" si="0"/>
        <v>0</v>
      </c>
      <c r="J69" s="301"/>
      <c r="K69" s="720" t="s">
        <v>300</v>
      </c>
      <c r="L69" s="302"/>
      <c r="M69" s="302"/>
    </row>
    <row r="70" spans="1:14" s="303" customFormat="1" ht="12.75" customHeight="1" x14ac:dyDescent="0.25">
      <c r="A70" s="297" t="s">
        <v>164</v>
      </c>
      <c r="B70" s="297"/>
      <c r="C70" s="298"/>
      <c r="D70" s="299"/>
      <c r="E70" s="300"/>
      <c r="F70" s="610">
        <v>0</v>
      </c>
      <c r="G70" s="299"/>
      <c r="H70" s="314"/>
      <c r="I70" s="596">
        <f t="shared" si="0"/>
        <v>0</v>
      </c>
      <c r="J70" s="301"/>
      <c r="K70" s="720" t="s">
        <v>301</v>
      </c>
      <c r="L70" s="302"/>
      <c r="M70" s="302"/>
    </row>
    <row r="71" spans="1:14" ht="12.75" customHeight="1" x14ac:dyDescent="0.25">
      <c r="A71" s="213" t="s">
        <v>190</v>
      </c>
      <c r="B71" s="193"/>
      <c r="C71" s="28"/>
      <c r="D71" s="1"/>
      <c r="E71" s="384">
        <f>SUM(E58:E67)</f>
        <v>1.0000000000000002</v>
      </c>
      <c r="F71" s="214">
        <f>SUM(F58:F70)</f>
        <v>1.0000000000000002</v>
      </c>
      <c r="G71" s="214"/>
      <c r="H71" s="1"/>
      <c r="I71" s="594">
        <f>SUM(I58:I70)</f>
        <v>28547.999999999996</v>
      </c>
      <c r="J71" s="188"/>
    </row>
    <row r="72" spans="1:14" ht="12.75" customHeight="1" x14ac:dyDescent="0.25">
      <c r="F72" s="139"/>
      <c r="G72" s="333"/>
      <c r="J72" s="419"/>
    </row>
    <row r="73" spans="1:14" ht="12.75" customHeight="1" x14ac:dyDescent="0.2">
      <c r="A73" s="431" t="s">
        <v>172</v>
      </c>
      <c r="B73" s="431"/>
      <c r="C73" s="431"/>
      <c r="D73" s="431"/>
      <c r="E73" s="431"/>
      <c r="F73" s="431"/>
      <c r="G73" s="431"/>
      <c r="H73" s="431"/>
      <c r="I73" s="431"/>
      <c r="J73" s="147"/>
      <c r="K73" s="3"/>
      <c r="L73" s="143"/>
      <c r="M73" s="143"/>
    </row>
    <row r="74" spans="1:14" s="32" customFormat="1" ht="4.5" customHeight="1" x14ac:dyDescent="0.2">
      <c r="B74" s="33"/>
      <c r="C74" s="34"/>
      <c r="D74" s="34"/>
      <c r="E74" s="65"/>
      <c r="F74" s="67"/>
      <c r="G74" s="93"/>
      <c r="H74" s="93"/>
      <c r="I74" s="119"/>
      <c r="K74" s="36"/>
    </row>
    <row r="75" spans="1:14" ht="12.75" customHeight="1" x14ac:dyDescent="0.3">
      <c r="A75" s="311" t="s">
        <v>68</v>
      </c>
      <c r="B75" s="410"/>
      <c r="C75" s="410"/>
      <c r="D75" s="410"/>
      <c r="E75" s="316"/>
      <c r="F75" s="434"/>
      <c r="G75" s="828"/>
      <c r="H75" s="829"/>
      <c r="I75" s="171">
        <f>I71</f>
        <v>28547.999999999996</v>
      </c>
      <c r="J75" s="410"/>
      <c r="K75" s="411"/>
      <c r="L75" s="411"/>
      <c r="M75" s="411"/>
    </row>
    <row r="76" spans="1:14" ht="12.75" customHeight="1" x14ac:dyDescent="0.25">
      <c r="A76" s="48" t="s">
        <v>113</v>
      </c>
      <c r="F76" s="255">
        <v>0</v>
      </c>
      <c r="G76" s="572"/>
      <c r="H76" s="256">
        <v>0</v>
      </c>
      <c r="I76" s="171">
        <f>F76*H76</f>
        <v>0</v>
      </c>
      <c r="L76" s="44"/>
      <c r="M76" s="44"/>
      <c r="N76" s="44"/>
    </row>
    <row r="77" spans="1:14" s="32" customFormat="1" ht="4.5" customHeight="1" x14ac:dyDescent="0.2">
      <c r="B77" s="33"/>
      <c r="C77" s="34"/>
      <c r="D77" s="34"/>
      <c r="E77" s="65"/>
      <c r="F77" s="67"/>
      <c r="G77" s="93"/>
      <c r="H77" s="93"/>
      <c r="I77" s="119"/>
      <c r="K77" s="36"/>
    </row>
    <row r="78" spans="1:14" s="32" customFormat="1" ht="12.75" x14ac:dyDescent="0.2">
      <c r="A78" s="125" t="s">
        <v>199</v>
      </c>
      <c r="B78" s="126"/>
      <c r="C78" s="127"/>
      <c r="D78" s="127"/>
      <c r="E78" s="128"/>
      <c r="F78" s="140"/>
      <c r="G78" s="128"/>
      <c r="H78" s="128"/>
      <c r="I78" s="130">
        <f>I75+I76</f>
        <v>28547.999999999996</v>
      </c>
      <c r="K78" s="36"/>
    </row>
    <row r="79" spans="1:14" s="32" customFormat="1" ht="4.5" customHeight="1" x14ac:dyDescent="0.2">
      <c r="B79" s="33"/>
      <c r="C79" s="34"/>
      <c r="D79" s="34"/>
      <c r="E79" s="65"/>
      <c r="F79" s="67"/>
      <c r="G79" s="93"/>
      <c r="H79" s="93"/>
      <c r="I79" s="119"/>
      <c r="K79" s="36"/>
    </row>
    <row r="80" spans="1:14" s="32" customFormat="1" ht="12.75" x14ac:dyDescent="0.2">
      <c r="A80" s="68" t="s">
        <v>13</v>
      </c>
      <c r="B80" s="33"/>
      <c r="C80" s="34"/>
      <c r="D80" s="34"/>
      <c r="E80" s="76"/>
      <c r="F80" s="428">
        <v>0.04</v>
      </c>
      <c r="G80" s="334"/>
      <c r="H80" s="94"/>
      <c r="I80" s="120">
        <f>ROUND(I78*F80,2)</f>
        <v>1141.92</v>
      </c>
      <c r="K80" s="36"/>
    </row>
    <row r="81" spans="1:11" s="32" customFormat="1" ht="3" customHeight="1" x14ac:dyDescent="0.2">
      <c r="A81" s="69"/>
      <c r="B81" s="70"/>
      <c r="C81" s="71"/>
      <c r="D81" s="71"/>
      <c r="E81" s="77"/>
      <c r="F81" s="240"/>
      <c r="G81" s="249"/>
      <c r="H81" s="95"/>
      <c r="I81" s="121"/>
      <c r="K81" s="36"/>
    </row>
    <row r="82" spans="1:11" s="32" customFormat="1" ht="3" customHeight="1" x14ac:dyDescent="0.2">
      <c r="B82" s="33"/>
      <c r="C82" s="34"/>
      <c r="D82" s="34"/>
      <c r="E82" s="79"/>
      <c r="F82" s="241"/>
      <c r="G82" s="335"/>
      <c r="H82" s="96"/>
      <c r="I82" s="119"/>
      <c r="K82" s="36"/>
    </row>
    <row r="83" spans="1:11" s="32" customFormat="1" ht="12.75" x14ac:dyDescent="0.2">
      <c r="A83" s="413" t="s">
        <v>200</v>
      </c>
      <c r="B83" s="414"/>
      <c r="C83" s="415"/>
      <c r="D83" s="415"/>
      <c r="E83" s="363"/>
      <c r="F83" s="362"/>
      <c r="G83" s="362"/>
      <c r="H83" s="360"/>
      <c r="I83" s="416">
        <f>I78+I80</f>
        <v>29689.919999999998</v>
      </c>
      <c r="K83" s="36"/>
    </row>
    <row r="84" spans="1:11" s="32" customFormat="1" ht="4.5" customHeight="1" x14ac:dyDescent="0.2">
      <c r="A84" s="73"/>
      <c r="B84" s="74"/>
      <c r="C84" s="75"/>
      <c r="D84" s="75"/>
      <c r="E84" s="35"/>
      <c r="F84" s="238"/>
      <c r="G84" s="336"/>
      <c r="H84" s="94"/>
      <c r="I84" s="122"/>
      <c r="K84" s="36"/>
    </row>
    <row r="85" spans="1:11" s="32" customFormat="1" ht="12.75" x14ac:dyDescent="0.2">
      <c r="A85" s="159" t="s">
        <v>150</v>
      </c>
      <c r="B85" s="74"/>
      <c r="C85" s="75"/>
      <c r="D85" s="75"/>
      <c r="E85" s="35"/>
      <c r="F85" s="428">
        <v>0</v>
      </c>
      <c r="G85" s="94"/>
      <c r="H85" s="37"/>
      <c r="I85" s="169">
        <f>I83*F85</f>
        <v>0</v>
      </c>
      <c r="K85" s="36"/>
    </row>
    <row r="86" spans="1:11" s="32" customFormat="1" ht="3" customHeight="1" x14ac:dyDescent="0.2">
      <c r="A86" s="69"/>
      <c r="B86" s="70"/>
      <c r="C86" s="71"/>
      <c r="D86" s="71"/>
      <c r="E86" s="77"/>
      <c r="F86" s="240"/>
      <c r="G86" s="249"/>
      <c r="H86" s="95"/>
      <c r="I86" s="121"/>
      <c r="K86" s="36"/>
    </row>
    <row r="87" spans="1:11" s="32" customFormat="1" ht="3" customHeight="1" x14ac:dyDescent="0.2">
      <c r="B87" s="33"/>
      <c r="C87" s="34"/>
      <c r="D87" s="34"/>
      <c r="E87" s="79"/>
      <c r="F87" s="241"/>
      <c r="G87" s="335"/>
      <c r="H87" s="96"/>
      <c r="I87" s="119"/>
      <c r="K87" s="36"/>
    </row>
    <row r="88" spans="1:11" s="32" customFormat="1" ht="12.75" x14ac:dyDescent="0.2">
      <c r="A88" s="413" t="s">
        <v>201</v>
      </c>
      <c r="B88" s="414"/>
      <c r="C88" s="415"/>
      <c r="D88" s="415"/>
      <c r="E88" s="363"/>
      <c r="F88" s="362"/>
      <c r="G88" s="362"/>
      <c r="H88" s="360"/>
      <c r="I88" s="416">
        <f>I83+I85</f>
        <v>29689.919999999998</v>
      </c>
      <c r="K88" s="36"/>
    </row>
    <row r="89" spans="1:11" s="32" customFormat="1" ht="4.5" customHeight="1" x14ac:dyDescent="0.2">
      <c r="A89" s="73"/>
      <c r="B89" s="74"/>
      <c r="C89" s="75"/>
      <c r="D89" s="75"/>
      <c r="E89" s="35"/>
      <c r="F89" s="238"/>
      <c r="G89" s="336"/>
      <c r="H89" s="94"/>
      <c r="I89" s="122"/>
      <c r="K89" s="36"/>
    </row>
    <row r="90" spans="1:11" s="32" customFormat="1" ht="12.75" x14ac:dyDescent="0.2">
      <c r="A90" s="32" t="s">
        <v>14</v>
      </c>
      <c r="B90" s="33"/>
      <c r="D90" s="34"/>
      <c r="E90" s="72"/>
      <c r="F90" s="38">
        <v>0.2</v>
      </c>
      <c r="G90" s="38"/>
      <c r="H90" s="38"/>
      <c r="I90" s="123">
        <f>ROUND(I83*F90,2)</f>
        <v>5937.98</v>
      </c>
      <c r="K90" s="36"/>
    </row>
    <row r="91" spans="1:11" s="32" customFormat="1" ht="3" customHeight="1" x14ac:dyDescent="0.2">
      <c r="A91" s="37"/>
      <c r="B91" s="231"/>
      <c r="C91" s="78"/>
      <c r="D91" s="78"/>
      <c r="E91" s="72"/>
      <c r="F91" s="67"/>
      <c r="G91" s="93"/>
      <c r="H91" s="93"/>
      <c r="I91" s="124"/>
      <c r="K91" s="36"/>
    </row>
    <row r="92" spans="1:11" s="37" customFormat="1" ht="12.75" x14ac:dyDescent="0.2">
      <c r="A92" s="421" t="s">
        <v>202</v>
      </c>
      <c r="B92" s="426"/>
      <c r="C92" s="422"/>
      <c r="D92" s="422"/>
      <c r="E92" s="423"/>
      <c r="F92" s="424"/>
      <c r="G92" s="424"/>
      <c r="H92" s="424"/>
      <c r="I92" s="425">
        <f>SUM(I88:I90)</f>
        <v>35627.899999999994</v>
      </c>
      <c r="K92" s="36"/>
    </row>
    <row r="93" spans="1:11" ht="5.0999999999999996" customHeight="1" x14ac:dyDescent="0.2">
      <c r="F93" s="8"/>
      <c r="G93" s="42"/>
    </row>
  </sheetData>
  <mergeCells count="12">
    <mergeCell ref="H2:I2"/>
    <mergeCell ref="G75:H75"/>
    <mergeCell ref="A21:B21"/>
    <mergeCell ref="A13:B13"/>
    <mergeCell ref="A15:B15"/>
    <mergeCell ref="A7:B7"/>
    <mergeCell ref="A9:B9"/>
    <mergeCell ref="A23:B23"/>
    <mergeCell ref="A17:B17"/>
    <mergeCell ref="A19:B19"/>
    <mergeCell ref="A27:B27"/>
    <mergeCell ref="A11:B11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&amp;L&amp;"Arial,Standard"&amp;9&amp;K01+011Seite &amp;P von &amp;N                              Juni 2018&amp;R&amp;"Arial,Fett"&amp;9&amp;K01+011Leitfaden Vergabe technische Beratung &amp; Planung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tabColor theme="8" tint="0.79998168889431442"/>
  </sheetPr>
  <dimension ref="A1:O93"/>
  <sheetViews>
    <sheetView showGridLines="0" tabSelected="1" view="pageLayout" zoomScale="70" zoomScaleNormal="85" zoomScaleSheetLayoutView="100" zoomScalePageLayoutView="7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2.7109375" style="59" customWidth="1"/>
    <col min="13" max="16384" width="11.5703125" style="1"/>
  </cols>
  <sheetData>
    <row r="1" spans="1:14" ht="5.0999999999999996" customHeight="1" x14ac:dyDescent="0.2"/>
    <row r="2" spans="1:14" s="54" customFormat="1" ht="35.1" customHeight="1" x14ac:dyDescent="0.2">
      <c r="C2" s="13"/>
      <c r="D2" s="103"/>
      <c r="G2" s="55"/>
      <c r="H2" s="820" t="s">
        <v>335</v>
      </c>
      <c r="I2" s="820"/>
      <c r="K2" s="62"/>
      <c r="L2" s="62"/>
    </row>
    <row r="3" spans="1:14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  <c r="L3" s="2"/>
    </row>
    <row r="4" spans="1:14" s="11" customFormat="1" ht="6" customHeight="1" x14ac:dyDescent="0.25">
      <c r="J4" s="2"/>
      <c r="K4" s="2"/>
      <c r="L4" s="2"/>
    </row>
    <row r="5" spans="1:14" s="11" customFormat="1" ht="12.95" customHeight="1" x14ac:dyDescent="0.25">
      <c r="E5" s="100" t="s">
        <v>82</v>
      </c>
      <c r="F5" s="45" t="s">
        <v>50</v>
      </c>
      <c r="H5" s="16" t="s">
        <v>16</v>
      </c>
      <c r="I5" s="117" t="s">
        <v>51</v>
      </c>
      <c r="K5" s="45"/>
      <c r="L5" s="45"/>
    </row>
    <row r="6" spans="1:14" s="11" customFormat="1" ht="6" customHeight="1" x14ac:dyDescent="0.25">
      <c r="F6" s="98"/>
      <c r="I6" s="2"/>
      <c r="K6" s="2"/>
      <c r="L6" s="2"/>
    </row>
    <row r="7" spans="1:14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F7/_1_9</f>
        <v>2.1739888766278866E-3</v>
      </c>
      <c r="F7" s="389">
        <f>_1</f>
        <v>70000</v>
      </c>
      <c r="G7" s="104"/>
      <c r="H7" s="135">
        <v>0</v>
      </c>
      <c r="I7" s="389">
        <f>F7*H7</f>
        <v>0</v>
      </c>
      <c r="J7" s="50"/>
    </row>
    <row r="8" spans="1:14" ht="2.25" customHeight="1" x14ac:dyDescent="0.25">
      <c r="B8" s="4"/>
      <c r="C8" s="6"/>
      <c r="D8" s="1"/>
      <c r="E8" s="161"/>
      <c r="F8" s="174"/>
      <c r="G8" s="1"/>
      <c r="H8" s="631"/>
      <c r="I8" s="174"/>
      <c r="J8" s="63"/>
      <c r="K8" s="554"/>
      <c r="L8" s="554"/>
      <c r="M8" s="554"/>
      <c r="N8" s="554"/>
    </row>
    <row r="9" spans="1:14" s="12" customFormat="1" ht="12.75" customHeight="1" x14ac:dyDescent="0.2">
      <c r="A9" s="821">
        <v>2</v>
      </c>
      <c r="B9" s="821"/>
      <c r="C9" s="106"/>
      <c r="D9" s="107" t="s">
        <v>1</v>
      </c>
      <c r="E9" s="597">
        <f>F9/_1_9</f>
        <v>0.27951285556644256</v>
      </c>
      <c r="F9" s="389">
        <f>_2</f>
        <v>9000000</v>
      </c>
      <c r="G9" s="104"/>
      <c r="H9" s="135">
        <v>1</v>
      </c>
      <c r="I9" s="389">
        <f>F9*H9</f>
        <v>9000000</v>
      </c>
      <c r="J9" s="50"/>
    </row>
    <row r="10" spans="1:14" ht="2.25" customHeight="1" x14ac:dyDescent="0.25">
      <c r="B10" s="13"/>
      <c r="C10" s="13"/>
      <c r="D10" s="14"/>
      <c r="E10" s="161"/>
      <c r="F10" s="175"/>
      <c r="G10" s="1"/>
      <c r="H10" s="631"/>
      <c r="I10" s="175"/>
      <c r="J10" s="50"/>
      <c r="K10" s="554"/>
      <c r="L10" s="554"/>
      <c r="M10" s="554"/>
      <c r="N10" s="554"/>
    </row>
    <row r="11" spans="1:14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F11/_1_9</f>
        <v>0.25156157000979829</v>
      </c>
      <c r="F11" s="389">
        <f>_3</f>
        <v>8100000</v>
      </c>
      <c r="G11" s="104"/>
      <c r="H11" s="135">
        <v>1</v>
      </c>
      <c r="I11" s="389">
        <f>F11*H11</f>
        <v>8100000</v>
      </c>
      <c r="J11" s="50"/>
    </row>
    <row r="12" spans="1:14" ht="2.25" customHeight="1" x14ac:dyDescent="0.25">
      <c r="B12" s="13"/>
      <c r="C12" s="13"/>
      <c r="D12" s="14"/>
      <c r="E12" s="161"/>
      <c r="F12" s="158"/>
      <c r="G12" s="1"/>
      <c r="H12" s="630"/>
      <c r="I12" s="158"/>
      <c r="J12" s="49"/>
      <c r="K12" s="554"/>
      <c r="L12" s="554"/>
      <c r="M12" s="554"/>
      <c r="N12" s="554"/>
    </row>
    <row r="13" spans="1:14" s="11" customFormat="1" ht="12.75" customHeight="1" x14ac:dyDescent="0.2">
      <c r="A13" s="821">
        <v>4</v>
      </c>
      <c r="B13" s="821"/>
      <c r="C13" s="106"/>
      <c r="D13" s="107" t="s">
        <v>2</v>
      </c>
      <c r="E13" s="597">
        <f>F13/_1_9</f>
        <v>0.20187039568687518</v>
      </c>
      <c r="F13" s="389">
        <f>_4</f>
        <v>6500000</v>
      </c>
      <c r="G13" s="104"/>
      <c r="H13" s="135">
        <v>1</v>
      </c>
      <c r="I13" s="389">
        <f>F13*H13</f>
        <v>6500000</v>
      </c>
      <c r="J13" s="50"/>
    </row>
    <row r="14" spans="1:14" ht="2.25" customHeight="1" x14ac:dyDescent="0.25">
      <c r="B14" s="4"/>
      <c r="C14" s="6"/>
      <c r="D14" s="1"/>
      <c r="E14" s="161"/>
      <c r="F14" s="158"/>
      <c r="G14" s="1"/>
      <c r="H14" s="632"/>
      <c r="I14" s="158"/>
      <c r="J14" s="48"/>
      <c r="K14" s="43"/>
      <c r="L14" s="43"/>
      <c r="M14" s="554"/>
      <c r="N14" s="554"/>
    </row>
    <row r="15" spans="1:14" s="12" customFormat="1" ht="12.95" customHeight="1" x14ac:dyDescent="0.2">
      <c r="A15" s="821">
        <v>5</v>
      </c>
      <c r="B15" s="821"/>
      <c r="C15" s="106"/>
      <c r="D15" s="107" t="s">
        <v>9</v>
      </c>
      <c r="E15" s="597">
        <f>F15/_1_9</f>
        <v>5.1244023520514471E-2</v>
      </c>
      <c r="F15" s="389">
        <f>_5</f>
        <v>1650000</v>
      </c>
      <c r="G15" s="104"/>
      <c r="H15" s="135">
        <v>0</v>
      </c>
      <c r="I15" s="389">
        <f>F15*H15</f>
        <v>0</v>
      </c>
      <c r="J15" s="50"/>
    </row>
    <row r="16" spans="1:14" ht="2.25" customHeight="1" x14ac:dyDescent="0.25">
      <c r="B16" s="13"/>
      <c r="C16" s="13"/>
      <c r="D16" s="14"/>
      <c r="E16" s="161"/>
      <c r="F16" s="175"/>
      <c r="G16" s="1"/>
      <c r="H16" s="631"/>
      <c r="I16" s="175"/>
      <c r="J16" s="50"/>
      <c r="K16" s="43"/>
      <c r="L16" s="43"/>
      <c r="M16" s="554"/>
      <c r="N16" s="554"/>
    </row>
    <row r="17" spans="1:14" s="11" customFormat="1" ht="12.75" customHeight="1" x14ac:dyDescent="0.2">
      <c r="A17" s="821">
        <v>6</v>
      </c>
      <c r="B17" s="821"/>
      <c r="C17" s="106"/>
      <c r="D17" s="107" t="s">
        <v>3</v>
      </c>
      <c r="E17" s="597">
        <f>F17/_1_9</f>
        <v>1.5528491975913475E-2</v>
      </c>
      <c r="F17" s="389">
        <f>_6</f>
        <v>500000</v>
      </c>
      <c r="G17" s="104"/>
      <c r="H17" s="135">
        <v>0</v>
      </c>
      <c r="I17" s="389">
        <f>F17*H17</f>
        <v>0</v>
      </c>
      <c r="J17" s="50"/>
    </row>
    <row r="18" spans="1:14" ht="2.25" customHeight="1" x14ac:dyDescent="0.25">
      <c r="B18" s="17"/>
      <c r="C18" s="5"/>
      <c r="D18" s="1"/>
      <c r="E18" s="164"/>
      <c r="F18" s="158"/>
      <c r="G18" s="1"/>
      <c r="H18" s="632"/>
      <c r="I18" s="158"/>
      <c r="J18" s="50"/>
      <c r="K18" s="18"/>
      <c r="L18" s="18"/>
      <c r="M18" s="555"/>
      <c r="N18" s="555"/>
    </row>
    <row r="19" spans="1:14" s="12" customFormat="1" ht="12.95" customHeight="1" x14ac:dyDescent="0.2">
      <c r="A19" s="821">
        <v>7</v>
      </c>
      <c r="B19" s="821"/>
      <c r="C19" s="106"/>
      <c r="D19" s="107" t="s">
        <v>110</v>
      </c>
      <c r="E19" s="597">
        <f>F19/_1_9</f>
        <v>0.14729944861863917</v>
      </c>
      <c r="F19" s="389">
        <f>_7</f>
        <v>4742876.7985686567</v>
      </c>
      <c r="G19" s="104"/>
      <c r="H19" s="135">
        <v>0</v>
      </c>
      <c r="I19" s="389">
        <f>F19*H19</f>
        <v>0</v>
      </c>
      <c r="J19" s="50"/>
      <c r="K19" s="3"/>
      <c r="L19" s="3"/>
    </row>
    <row r="20" spans="1:14" ht="2.25" customHeight="1" x14ac:dyDescent="0.25">
      <c r="B20" s="13"/>
      <c r="C20" s="13"/>
      <c r="D20" s="14"/>
      <c r="E20" s="164"/>
      <c r="F20" s="175"/>
      <c r="G20" s="1"/>
      <c r="H20" s="631"/>
      <c r="I20" s="175"/>
      <c r="J20" s="50"/>
      <c r="K20" s="18"/>
      <c r="L20" s="18"/>
      <c r="M20" s="555"/>
      <c r="N20" s="554"/>
    </row>
    <row r="21" spans="1:14" s="12" customFormat="1" ht="12.95" customHeight="1" x14ac:dyDescent="0.2">
      <c r="A21" s="821">
        <v>8</v>
      </c>
      <c r="B21" s="821"/>
      <c r="C21" s="106"/>
      <c r="D21" s="107" t="s">
        <v>105</v>
      </c>
      <c r="E21" s="597">
        <f>F21/_1_9</f>
        <v>1.1180514222657702E-3</v>
      </c>
      <c r="F21" s="389">
        <f>_8</f>
        <v>36000</v>
      </c>
      <c r="G21" s="104"/>
      <c r="H21" s="135">
        <v>0</v>
      </c>
      <c r="I21" s="389">
        <f>F21*H21</f>
        <v>0</v>
      </c>
      <c r="J21" s="50"/>
      <c r="K21" s="187"/>
      <c r="L21" s="187"/>
    </row>
    <row r="22" spans="1:14" ht="2.25" customHeight="1" x14ac:dyDescent="0.25">
      <c r="B22" s="13"/>
      <c r="C22" s="13"/>
      <c r="D22" s="14"/>
      <c r="E22" s="164"/>
      <c r="F22" s="158"/>
      <c r="G22" s="1"/>
      <c r="H22" s="630"/>
      <c r="I22" s="158"/>
      <c r="J22" s="49"/>
      <c r="K22" s="30"/>
      <c r="L22" s="30"/>
      <c r="M22" s="555"/>
      <c r="N22" s="554"/>
    </row>
    <row r="23" spans="1:14" s="12" customFormat="1" ht="12.95" customHeight="1" x14ac:dyDescent="0.2">
      <c r="A23" s="821">
        <v>9</v>
      </c>
      <c r="B23" s="821"/>
      <c r="C23" s="106"/>
      <c r="D23" s="107" t="s">
        <v>10</v>
      </c>
      <c r="E23" s="597">
        <f>F23/_1_9</f>
        <v>4.9691174322923123E-2</v>
      </c>
      <c r="F23" s="389">
        <f>_9</f>
        <v>1600000</v>
      </c>
      <c r="G23" s="104"/>
      <c r="H23" s="135">
        <v>0.05</v>
      </c>
      <c r="I23" s="389">
        <f>F23*H23</f>
        <v>80000</v>
      </c>
      <c r="J23" s="50"/>
      <c r="K23" s="30"/>
      <c r="L23" s="30"/>
    </row>
    <row r="24" spans="1:14" ht="12" customHeight="1" x14ac:dyDescent="0.2">
      <c r="B24" s="17"/>
      <c r="C24" s="5"/>
      <c r="D24" s="1"/>
      <c r="E24" s="47"/>
      <c r="F24" s="1"/>
      <c r="G24" s="1"/>
      <c r="H24" s="1"/>
      <c r="I24" s="1"/>
      <c r="K24" s="1"/>
      <c r="L24" s="1"/>
    </row>
    <row r="25" spans="1:14" ht="12.95" customHeight="1" x14ac:dyDescent="0.2">
      <c r="A25" s="538" t="s">
        <v>12</v>
      </c>
      <c r="B25" s="539"/>
      <c r="C25" s="539"/>
      <c r="D25" s="539"/>
      <c r="E25" s="148">
        <f>SUM(E3:E23)</f>
        <v>0.99999999999999989</v>
      </c>
      <c r="F25" s="146">
        <f>SUM(F7:F23)</f>
        <v>32198876.798568659</v>
      </c>
      <c r="H25" s="216"/>
      <c r="I25" s="146">
        <f>SUM(I7:I23)</f>
        <v>23680000</v>
      </c>
      <c r="K25" s="30"/>
      <c r="L25" s="1"/>
    </row>
    <row r="26" spans="1:14" ht="4.5" customHeight="1" x14ac:dyDescent="0.25">
      <c r="B26" s="13"/>
      <c r="C26" s="13"/>
      <c r="D26" s="14"/>
      <c r="E26" s="47"/>
      <c r="F26" s="14"/>
      <c r="G26" s="1"/>
      <c r="H26" s="19"/>
      <c r="I26" s="15"/>
      <c r="J26" s="18"/>
      <c r="K26" s="30"/>
      <c r="L26" s="555"/>
      <c r="M26" s="554"/>
    </row>
    <row r="27" spans="1:14" s="11" customFormat="1" ht="12.95" customHeight="1" x14ac:dyDescent="0.2">
      <c r="A27" s="821"/>
      <c r="B27" s="821"/>
      <c r="C27" s="106" t="s">
        <v>432</v>
      </c>
      <c r="D27" s="107"/>
      <c r="E27" s="803"/>
      <c r="F27" s="389">
        <f>_mvB</f>
        <v>110000</v>
      </c>
      <c r="G27" s="104"/>
      <c r="H27" s="135">
        <v>1</v>
      </c>
      <c r="I27" s="389">
        <f>F27*H27</f>
        <v>110000</v>
      </c>
      <c r="J27" s="50"/>
    </row>
    <row r="28" spans="1:14" ht="4.5" customHeight="1" x14ac:dyDescent="0.2">
      <c r="B28" s="13"/>
      <c r="C28" s="13"/>
      <c r="D28" s="14"/>
      <c r="E28" s="1"/>
      <c r="F28" s="47"/>
      <c r="G28" s="1"/>
      <c r="H28" s="19"/>
      <c r="I28" s="15"/>
      <c r="K28" s="18"/>
      <c r="L28" s="18"/>
    </row>
    <row r="29" spans="1:14" s="20" customFormat="1" ht="12.95" customHeight="1" x14ac:dyDescent="0.3">
      <c r="A29" s="417" t="s">
        <v>32</v>
      </c>
      <c r="B29" s="418"/>
      <c r="C29" s="418"/>
      <c r="D29" s="418"/>
      <c r="E29" s="412"/>
      <c r="F29" s="412"/>
      <c r="G29" s="412"/>
      <c r="H29" s="338"/>
      <c r="I29" s="146">
        <f>SUM(I25:I27)</f>
        <v>23790000</v>
      </c>
      <c r="K29" s="64"/>
      <c r="L29" s="64"/>
    </row>
    <row r="30" spans="1:14" s="21" customFormat="1" ht="13.5" customHeight="1" x14ac:dyDescent="0.25">
      <c r="B30" s="23"/>
      <c r="C30" s="23"/>
      <c r="D30" s="22"/>
      <c r="E30" s="46"/>
      <c r="F30" s="46"/>
      <c r="G30" s="22"/>
      <c r="H30" s="46"/>
      <c r="I30" s="838"/>
      <c r="J30" s="838"/>
      <c r="K30" s="838"/>
      <c r="L30" s="29"/>
    </row>
    <row r="31" spans="1:14" ht="12.75" customHeight="1" x14ac:dyDescent="0.2">
      <c r="A31" s="340" t="s">
        <v>83</v>
      </c>
      <c r="B31" s="341"/>
      <c r="C31" s="341"/>
      <c r="D31" s="341"/>
      <c r="E31" s="341"/>
      <c r="F31" s="341"/>
      <c r="G31" s="341"/>
      <c r="H31" s="341"/>
      <c r="I31" s="359"/>
      <c r="J31" s="308"/>
      <c r="K31" s="18"/>
      <c r="L31" s="18"/>
    </row>
    <row r="32" spans="1:14" ht="4.5" customHeight="1" x14ac:dyDescent="0.2">
      <c r="B32" s="13"/>
      <c r="C32" s="13"/>
      <c r="D32" s="14"/>
      <c r="E32" s="1"/>
      <c r="F32" s="47"/>
      <c r="G32" s="1"/>
      <c r="H32" s="19"/>
      <c r="I32" s="15"/>
      <c r="J32" s="220"/>
      <c r="K32" s="18"/>
      <c r="L32" s="18"/>
    </row>
    <row r="33" spans="1:14" ht="12.75" customHeight="1" x14ac:dyDescent="0.2">
      <c r="A33" s="25"/>
      <c r="B33" s="25"/>
      <c r="C33" s="25"/>
      <c r="D33" s="1"/>
      <c r="E33" s="1"/>
      <c r="F33" s="197" t="s">
        <v>5</v>
      </c>
      <c r="H33" s="198" t="s">
        <v>4</v>
      </c>
      <c r="I33" s="309"/>
      <c r="K33" s="58"/>
      <c r="L33" s="58"/>
    </row>
    <row r="34" spans="1:14" ht="12.75" customHeight="1" x14ac:dyDescent="0.2">
      <c r="B34" s="26" t="s">
        <v>46</v>
      </c>
      <c r="C34" s="60"/>
      <c r="D34" s="51"/>
      <c r="E34" s="51"/>
      <c r="F34" s="151">
        <v>20</v>
      </c>
      <c r="G34" s="199"/>
      <c r="H34" s="199" t="s">
        <v>58</v>
      </c>
      <c r="I34" s="309"/>
      <c r="K34" s="58"/>
      <c r="L34" s="58"/>
    </row>
    <row r="35" spans="1:14" ht="12.75" customHeight="1" x14ac:dyDescent="0.2">
      <c r="B35" s="27" t="s">
        <v>47</v>
      </c>
      <c r="C35" s="61"/>
      <c r="D35" s="52"/>
      <c r="E35" s="52"/>
      <c r="F35" s="151">
        <v>2</v>
      </c>
      <c r="G35" s="199"/>
      <c r="H35" s="200" t="s">
        <v>6</v>
      </c>
      <c r="I35" s="309"/>
      <c r="K35" s="58"/>
      <c r="L35" s="58"/>
    </row>
    <row r="36" spans="1:14" ht="12.75" customHeight="1" x14ac:dyDescent="0.2">
      <c r="B36" s="27" t="s">
        <v>48</v>
      </c>
      <c r="C36" s="61"/>
      <c r="D36" s="52"/>
      <c r="E36" s="52"/>
      <c r="F36" s="151">
        <v>1</v>
      </c>
      <c r="G36" s="199"/>
      <c r="H36" s="200" t="s">
        <v>6</v>
      </c>
      <c r="I36" s="309"/>
      <c r="K36" s="58"/>
      <c r="L36" s="58"/>
    </row>
    <row r="37" spans="1:14" ht="12.75" customHeight="1" x14ac:dyDescent="0.2">
      <c r="B37" s="27" t="s">
        <v>49</v>
      </c>
      <c r="C37" s="52"/>
      <c r="D37" s="52"/>
      <c r="E37" s="52"/>
      <c r="F37" s="151">
        <v>2</v>
      </c>
      <c r="G37" s="199"/>
      <c r="H37" s="200" t="s">
        <v>6</v>
      </c>
      <c r="I37" s="309"/>
      <c r="K37" s="58"/>
      <c r="L37" s="58"/>
    </row>
    <row r="38" spans="1:14" ht="4.5" customHeight="1" x14ac:dyDescent="0.2">
      <c r="A38" s="40"/>
      <c r="B38" s="40"/>
      <c r="C38" s="40"/>
      <c r="D38" s="1"/>
      <c r="E38" s="1"/>
      <c r="F38" s="201"/>
      <c r="H38" s="201"/>
      <c r="I38" s="309"/>
      <c r="K38" s="58"/>
      <c r="L38" s="58"/>
    </row>
    <row r="39" spans="1:14" ht="12.75" customHeight="1" x14ac:dyDescent="0.25">
      <c r="B39" s="27" t="s">
        <v>141</v>
      </c>
      <c r="C39" s="61"/>
      <c r="D39" s="52"/>
      <c r="E39" s="52"/>
      <c r="F39" s="563"/>
      <c r="G39" s="329"/>
      <c r="H39" s="200" t="s">
        <v>6</v>
      </c>
      <c r="I39" s="309"/>
      <c r="J39" s="58"/>
      <c r="K39" s="554"/>
      <c r="L39" s="554"/>
      <c r="M39" s="554"/>
      <c r="N39" s="554"/>
    </row>
    <row r="40" spans="1:14" ht="12.75" customHeight="1" x14ac:dyDescent="0.25">
      <c r="B40" s="27" t="s">
        <v>185</v>
      </c>
      <c r="C40" s="61"/>
      <c r="D40" s="52"/>
      <c r="E40" s="52"/>
      <c r="F40" s="563"/>
      <c r="G40" s="329"/>
      <c r="H40" s="200" t="s">
        <v>57</v>
      </c>
      <c r="I40" s="309"/>
      <c r="J40" s="58"/>
      <c r="K40" s="554"/>
      <c r="L40" s="554"/>
      <c r="M40" s="554"/>
      <c r="N40" s="554"/>
    </row>
    <row r="41" spans="1:14" ht="12.75" customHeight="1" x14ac:dyDescent="0.25">
      <c r="B41" s="27" t="s">
        <v>143</v>
      </c>
      <c r="C41" s="61"/>
      <c r="D41" s="52"/>
      <c r="E41" s="52"/>
      <c r="F41" s="563"/>
      <c r="G41" s="329"/>
      <c r="H41" s="200" t="s">
        <v>57</v>
      </c>
      <c r="I41" s="309"/>
      <c r="J41" s="58"/>
      <c r="K41" s="554"/>
      <c r="L41" s="554"/>
      <c r="M41" s="554"/>
      <c r="N41" s="554"/>
    </row>
    <row r="42" spans="1:14" ht="12.75" customHeight="1" x14ac:dyDescent="0.25">
      <c r="B42" s="27" t="s">
        <v>144</v>
      </c>
      <c r="C42" s="61"/>
      <c r="D42" s="52"/>
      <c r="E42" s="52"/>
      <c r="F42" s="563"/>
      <c r="G42" s="329"/>
      <c r="H42" s="200" t="s">
        <v>57</v>
      </c>
      <c r="I42" s="309"/>
      <c r="J42" s="58"/>
      <c r="K42" s="554"/>
      <c r="L42" s="554"/>
      <c r="M42" s="554"/>
      <c r="N42" s="554"/>
    </row>
    <row r="43" spans="1:14" ht="12.75" customHeight="1" x14ac:dyDescent="0.25">
      <c r="B43" s="27" t="s">
        <v>181</v>
      </c>
      <c r="C43" s="61"/>
      <c r="D43" s="52"/>
      <c r="E43" s="52"/>
      <c r="F43" s="563"/>
      <c r="G43" s="329"/>
      <c r="H43" s="200" t="s">
        <v>188</v>
      </c>
      <c r="I43" s="309"/>
      <c r="J43" s="58"/>
      <c r="K43" s="554"/>
      <c r="L43" s="554"/>
      <c r="M43" s="554"/>
      <c r="N43" s="554"/>
    </row>
    <row r="44" spans="1:14" ht="12.75" customHeight="1" x14ac:dyDescent="0.25">
      <c r="B44" s="27" t="s">
        <v>183</v>
      </c>
      <c r="C44" s="61"/>
      <c r="D44" s="52"/>
      <c r="E44" s="52"/>
      <c r="F44" s="563"/>
      <c r="G44" s="329"/>
      <c r="H44" s="200" t="s">
        <v>173</v>
      </c>
      <c r="I44" s="309"/>
      <c r="J44" s="58"/>
      <c r="K44" s="554"/>
      <c r="L44" s="554"/>
      <c r="M44" s="554"/>
      <c r="N44" s="554"/>
    </row>
    <row r="45" spans="1:14" ht="12.75" customHeight="1" x14ac:dyDescent="0.25">
      <c r="B45" s="27" t="s">
        <v>182</v>
      </c>
      <c r="C45" s="61"/>
      <c r="D45" s="52"/>
      <c r="E45" s="52"/>
      <c r="F45" s="563"/>
      <c r="G45" s="329"/>
      <c r="H45" s="200" t="s">
        <v>6</v>
      </c>
      <c r="I45" s="309"/>
      <c r="J45" s="1"/>
      <c r="K45" s="554"/>
      <c r="L45" s="554"/>
    </row>
    <row r="46" spans="1:14" ht="4.5" customHeight="1" x14ac:dyDescent="0.2">
      <c r="A46" s="40"/>
      <c r="B46" s="40"/>
      <c r="C46" s="1"/>
      <c r="D46" s="203"/>
      <c r="E46" s="203"/>
      <c r="F46" s="203"/>
      <c r="H46" s="203"/>
      <c r="I46" s="309"/>
      <c r="K46" s="1"/>
      <c r="L46" s="1"/>
    </row>
    <row r="47" spans="1:14" ht="12.75" customHeight="1" x14ac:dyDescent="0.2">
      <c r="B47" s="25" t="s">
        <v>45</v>
      </c>
      <c r="C47" s="1"/>
      <c r="D47" s="202"/>
      <c r="E47" s="203"/>
      <c r="F47" s="204">
        <f>SUM(F34:F45)</f>
        <v>25</v>
      </c>
      <c r="H47" s="203"/>
      <c r="I47" s="309"/>
      <c r="K47" s="1"/>
      <c r="L47" s="1"/>
    </row>
    <row r="48" spans="1:14" ht="12.95" customHeight="1" x14ac:dyDescent="0.2">
      <c r="B48" s="40"/>
      <c r="C48" s="1"/>
      <c r="D48" s="203"/>
      <c r="E48" s="203"/>
      <c r="F48" s="203"/>
      <c r="H48" s="203"/>
      <c r="I48" s="309"/>
      <c r="K48" s="1"/>
      <c r="L48" s="1"/>
    </row>
    <row r="49" spans="1:12" ht="12.95" customHeight="1" x14ac:dyDescent="0.2">
      <c r="A49" s="438" t="s">
        <v>171</v>
      </c>
      <c r="B49" s="340"/>
      <c r="C49" s="341"/>
      <c r="D49" s="341"/>
      <c r="E49" s="341"/>
      <c r="F49" s="341"/>
      <c r="G49" s="343"/>
      <c r="H49" s="341"/>
      <c r="I49" s="358"/>
      <c r="K49" s="18"/>
      <c r="L49" s="18"/>
    </row>
    <row r="50" spans="1:12" ht="4.5" customHeight="1" x14ac:dyDescent="0.2">
      <c r="A50" s="205"/>
      <c r="B50" s="205"/>
      <c r="C50" s="205"/>
      <c r="D50" s="205"/>
      <c r="F50" s="8"/>
      <c r="I50" s="1"/>
      <c r="K50" s="18"/>
      <c r="L50" s="18"/>
    </row>
    <row r="51" spans="1:12" ht="14.25" customHeight="1" x14ac:dyDescent="0.2">
      <c r="A51" s="206" t="s">
        <v>11</v>
      </c>
      <c r="B51" s="206"/>
      <c r="C51" s="1"/>
      <c r="F51" s="230">
        <f>I29</f>
        <v>23790000</v>
      </c>
      <c r="I51" s="1"/>
      <c r="K51" s="18"/>
      <c r="L51" s="18"/>
    </row>
    <row r="52" spans="1:12" ht="14.25" customHeight="1" x14ac:dyDescent="0.25">
      <c r="A52" s="28" t="s">
        <v>72</v>
      </c>
      <c r="B52" s="28"/>
      <c r="C52" s="28"/>
      <c r="D52" s="1"/>
      <c r="E52" s="1"/>
      <c r="F52" s="131">
        <f>0.013*F47+0.923</f>
        <v>1.248</v>
      </c>
      <c r="H52" s="155"/>
      <c r="I52" s="432"/>
      <c r="K52" s="18"/>
      <c r="L52" s="18"/>
    </row>
    <row r="53" spans="1:12" ht="14.25" customHeight="1" x14ac:dyDescent="0.25">
      <c r="A53" s="28" t="s">
        <v>74</v>
      </c>
      <c r="B53" s="28"/>
      <c r="C53" s="28"/>
      <c r="D53" s="1"/>
      <c r="E53" s="1"/>
      <c r="F53" s="439">
        <f>ROUND(506.2538*F51^(-0.5074)*F52/100,4)</f>
        <v>1.1000000000000001E-3</v>
      </c>
      <c r="G53" s="441" t="s">
        <v>107</v>
      </c>
      <c r="H53" s="234"/>
      <c r="I53" s="432"/>
      <c r="K53" s="18"/>
      <c r="L53" s="18"/>
    </row>
    <row r="54" spans="1:12" ht="14.25" customHeight="1" x14ac:dyDescent="0.3">
      <c r="A54" s="311" t="s">
        <v>203</v>
      </c>
      <c r="B54" s="25"/>
      <c r="C54" s="25"/>
      <c r="D54" s="312"/>
      <c r="E54" s="208"/>
      <c r="F54" s="323">
        <f>F51*F53</f>
        <v>26169</v>
      </c>
      <c r="G54" s="443" t="s">
        <v>174</v>
      </c>
      <c r="H54" s="209"/>
      <c r="I54" s="1"/>
      <c r="J54" s="15"/>
      <c r="K54" s="18"/>
      <c r="L54" s="18"/>
    </row>
    <row r="55" spans="1:12" ht="12.95" customHeight="1" x14ac:dyDescent="0.2">
      <c r="A55" s="311"/>
      <c r="B55" s="25"/>
      <c r="C55" s="25"/>
      <c r="D55" s="312"/>
      <c r="E55" s="208"/>
      <c r="F55" s="326"/>
      <c r="G55" s="551"/>
      <c r="H55" s="209"/>
      <c r="I55" s="1"/>
      <c r="J55" s="15"/>
      <c r="K55" s="18"/>
      <c r="L55" s="18"/>
    </row>
    <row r="56" spans="1:12" ht="12.95" customHeight="1" x14ac:dyDescent="0.2">
      <c r="A56" s="440" t="s">
        <v>170</v>
      </c>
      <c r="B56" s="351"/>
      <c r="C56" s="351"/>
      <c r="D56" s="352"/>
      <c r="E56" s="352"/>
      <c r="F56" s="353"/>
      <c r="G56" s="353"/>
      <c r="H56" s="353"/>
      <c r="I56" s="346"/>
      <c r="J56" s="41"/>
      <c r="K56" s="18"/>
      <c r="L56" s="18"/>
    </row>
    <row r="57" spans="1:12" ht="4.5" customHeight="1" x14ac:dyDescent="0.2">
      <c r="A57" s="39"/>
      <c r="B57" s="40"/>
      <c r="C57" s="40"/>
      <c r="D57" s="208"/>
      <c r="E57" s="208"/>
      <c r="F57" s="208"/>
      <c r="G57" s="209"/>
      <c r="H57" s="209"/>
      <c r="I57" s="57"/>
      <c r="J57" s="41"/>
      <c r="K57" s="18"/>
      <c r="L57" s="18"/>
    </row>
    <row r="58" spans="1:12" ht="12.75" customHeight="1" x14ac:dyDescent="0.25">
      <c r="A58" s="210" t="s">
        <v>98</v>
      </c>
      <c r="B58" s="210"/>
      <c r="C58" s="211"/>
      <c r="D58" s="1"/>
      <c r="E58" s="324">
        <v>0.03</v>
      </c>
      <c r="F58" s="243">
        <v>0.03</v>
      </c>
      <c r="H58" s="212">
        <v>1</v>
      </c>
      <c r="I58" s="635">
        <f>IF($F$51=0,"-",$F$54*F58)</f>
        <v>785.06999999999994</v>
      </c>
      <c r="J58" s="514"/>
    </row>
    <row r="59" spans="1:12" ht="12.75" customHeight="1" x14ac:dyDescent="0.25">
      <c r="A59" s="210" t="s">
        <v>36</v>
      </c>
      <c r="B59" s="210"/>
      <c r="C59" s="211"/>
      <c r="D59" s="1"/>
      <c r="E59" s="324">
        <v>0.17</v>
      </c>
      <c r="F59" s="244">
        <v>0.17</v>
      </c>
      <c r="H59" s="212">
        <v>2</v>
      </c>
      <c r="I59" s="635">
        <f t="shared" ref="I59:I70" si="0">IF($F$51=0,"-",$F$54*F59)</f>
        <v>4448.7300000000005</v>
      </c>
      <c r="J59" s="514"/>
    </row>
    <row r="60" spans="1:12" ht="12.75" customHeight="1" x14ac:dyDescent="0.25">
      <c r="A60" s="210" t="s">
        <v>37</v>
      </c>
      <c r="B60" s="210"/>
      <c r="C60" s="211"/>
      <c r="D60" s="1"/>
      <c r="E60" s="324">
        <v>0.35</v>
      </c>
      <c r="F60" s="244">
        <v>0.35</v>
      </c>
      <c r="H60" s="212">
        <v>3</v>
      </c>
      <c r="I60" s="635">
        <f t="shared" si="0"/>
        <v>9159.15</v>
      </c>
      <c r="J60" s="514"/>
    </row>
    <row r="61" spans="1:12" ht="12.75" customHeight="1" x14ac:dyDescent="0.25">
      <c r="A61" s="210" t="s">
        <v>38</v>
      </c>
      <c r="B61" s="210"/>
      <c r="C61" s="211"/>
      <c r="D61" s="1"/>
      <c r="E61" s="324">
        <v>0.05</v>
      </c>
      <c r="F61" s="244">
        <v>0.05</v>
      </c>
      <c r="H61" s="212">
        <v>4</v>
      </c>
      <c r="I61" s="635">
        <f>IF($F$51=0,"-",$F$54*F61)</f>
        <v>1308.45</v>
      </c>
      <c r="J61" s="514"/>
    </row>
    <row r="62" spans="1:12" ht="12.75" customHeight="1" x14ac:dyDescent="0.25">
      <c r="A62" s="210" t="s">
        <v>69</v>
      </c>
      <c r="B62" s="210"/>
      <c r="C62" s="211"/>
      <c r="D62" s="1"/>
      <c r="E62" s="324">
        <v>0.27</v>
      </c>
      <c r="F62" s="244">
        <v>0.27</v>
      </c>
      <c r="H62" s="212">
        <v>5</v>
      </c>
      <c r="I62" s="635">
        <f t="shared" si="0"/>
        <v>7065.63</v>
      </c>
      <c r="J62" s="514"/>
    </row>
    <row r="63" spans="1:12" ht="12.75" customHeight="1" x14ac:dyDescent="0.25">
      <c r="A63" s="210" t="s">
        <v>40</v>
      </c>
      <c r="B63" s="210"/>
      <c r="C63" s="211"/>
      <c r="D63" s="1"/>
      <c r="E63" s="324">
        <v>0.02</v>
      </c>
      <c r="F63" s="244">
        <v>0.02</v>
      </c>
      <c r="H63" s="212">
        <v>6</v>
      </c>
      <c r="I63" s="635">
        <f t="shared" si="0"/>
        <v>523.38</v>
      </c>
      <c r="J63" s="514"/>
    </row>
    <row r="64" spans="1:12" ht="12.75" customHeight="1" x14ac:dyDescent="0.25">
      <c r="A64" s="210" t="s">
        <v>61</v>
      </c>
      <c r="B64" s="210"/>
      <c r="C64" s="211"/>
      <c r="D64" s="1"/>
      <c r="E64" s="324">
        <v>0.02</v>
      </c>
      <c r="F64" s="244">
        <v>0.02</v>
      </c>
      <c r="H64" s="212"/>
      <c r="I64" s="635">
        <f>IF($F$51=0,"-",$F$54*F64)</f>
        <v>523.38</v>
      </c>
      <c r="J64" s="514"/>
    </row>
    <row r="65" spans="1:15" ht="12.75" customHeight="1" x14ac:dyDescent="0.2">
      <c r="A65" s="210" t="s">
        <v>54</v>
      </c>
      <c r="B65" s="210"/>
      <c r="C65" s="211"/>
      <c r="D65" s="1"/>
      <c r="E65" s="324">
        <v>0.09</v>
      </c>
      <c r="F65" s="244">
        <v>0.09</v>
      </c>
      <c r="H65" s="212">
        <v>7</v>
      </c>
      <c r="I65" s="635">
        <f t="shared" si="0"/>
        <v>2355.21</v>
      </c>
      <c r="J65" s="659"/>
      <c r="K65" s="666"/>
    </row>
    <row r="66" spans="1:15" ht="12.75" customHeight="1" x14ac:dyDescent="0.25">
      <c r="A66" s="193" t="s">
        <v>70</v>
      </c>
      <c r="B66" s="193"/>
      <c r="C66" s="211"/>
      <c r="D66" s="1"/>
      <c r="E66" s="324">
        <v>0</v>
      </c>
      <c r="F66" s="244">
        <v>0</v>
      </c>
      <c r="H66" s="212">
        <v>8</v>
      </c>
      <c r="I66" s="635">
        <f t="shared" si="0"/>
        <v>0</v>
      </c>
      <c r="J66" s="514"/>
    </row>
    <row r="67" spans="1:15" ht="12.75" customHeight="1" x14ac:dyDescent="0.25">
      <c r="A67" s="294" t="s">
        <v>55</v>
      </c>
      <c r="B67" s="294"/>
      <c r="C67" s="295"/>
      <c r="D67" s="1"/>
      <c r="E67" s="324">
        <v>0</v>
      </c>
      <c r="F67" s="429">
        <v>0</v>
      </c>
      <c r="G67" s="337"/>
      <c r="H67" s="296">
        <v>9</v>
      </c>
      <c r="I67" s="635">
        <f>IF($F$51=0,"-",$F$54*F67)</f>
        <v>0</v>
      </c>
      <c r="J67" s="514"/>
      <c r="K67" s="668"/>
    </row>
    <row r="68" spans="1:15" s="303" customFormat="1" ht="12.75" customHeight="1" x14ac:dyDescent="0.25">
      <c r="A68" s="580" t="s">
        <v>164</v>
      </c>
      <c r="B68" s="580"/>
      <c r="C68" s="581"/>
      <c r="E68" s="582"/>
      <c r="F68" s="609">
        <v>0</v>
      </c>
      <c r="H68" s="583"/>
      <c r="I68" s="636">
        <f t="shared" si="0"/>
        <v>0</v>
      </c>
      <c r="J68" s="301"/>
      <c r="K68" s="667"/>
      <c r="L68" s="302"/>
      <c r="M68" s="302"/>
      <c r="N68" s="302"/>
    </row>
    <row r="69" spans="1:15" s="303" customFormat="1" ht="12.75" customHeight="1" x14ac:dyDescent="0.25">
      <c r="A69" s="580" t="s">
        <v>164</v>
      </c>
      <c r="B69" s="580"/>
      <c r="C69" s="581"/>
      <c r="E69" s="582"/>
      <c r="F69" s="609">
        <v>0</v>
      </c>
      <c r="H69" s="583"/>
      <c r="I69" s="683">
        <f t="shared" si="0"/>
        <v>0</v>
      </c>
      <c r="J69" s="301"/>
      <c r="K69" s="667"/>
      <c r="L69" s="302"/>
      <c r="M69" s="302"/>
      <c r="N69" s="302"/>
    </row>
    <row r="70" spans="1:15" s="303" customFormat="1" ht="12.75" customHeight="1" x14ac:dyDescent="0.25">
      <c r="A70" s="297" t="s">
        <v>164</v>
      </c>
      <c r="B70" s="297"/>
      <c r="C70" s="298"/>
      <c r="D70" s="299"/>
      <c r="E70" s="300"/>
      <c r="F70" s="610">
        <v>0</v>
      </c>
      <c r="G70" s="299"/>
      <c r="H70" s="314"/>
      <c r="I70" s="596">
        <f t="shared" si="0"/>
        <v>0</v>
      </c>
      <c r="J70" s="301"/>
      <c r="K70" s="667"/>
      <c r="L70" s="302"/>
      <c r="M70" s="302"/>
      <c r="N70" s="302"/>
    </row>
    <row r="71" spans="1:15" ht="12.75" customHeight="1" x14ac:dyDescent="0.25">
      <c r="A71" s="213" t="s">
        <v>190</v>
      </c>
      <c r="B71" s="193"/>
      <c r="C71" s="28"/>
      <c r="D71" s="1"/>
      <c r="E71" s="384">
        <f>SUM(E58:E67)</f>
        <v>1.0000000000000002</v>
      </c>
      <c r="F71" s="246">
        <f>SUM(F58:F70)</f>
        <v>1.0000000000000002</v>
      </c>
      <c r="G71" s="246"/>
      <c r="H71" s="246"/>
      <c r="I71" s="594">
        <f>SUM(I58:I70)</f>
        <v>26169.000000000004</v>
      </c>
      <c r="J71" s="514"/>
    </row>
    <row r="72" spans="1:15" s="32" customFormat="1" ht="12.95" customHeight="1" x14ac:dyDescent="0.25">
      <c r="B72" s="33"/>
      <c r="C72" s="34"/>
      <c r="D72" s="34"/>
      <c r="E72" s="65"/>
      <c r="F72" s="67"/>
      <c r="G72" s="93"/>
      <c r="H72" s="93"/>
      <c r="I72" s="119"/>
      <c r="J72" s="514"/>
      <c r="K72" s="59"/>
      <c r="L72" s="36"/>
    </row>
    <row r="73" spans="1:15" ht="12.75" customHeight="1" x14ac:dyDescent="0.2">
      <c r="A73" s="573" t="s">
        <v>172</v>
      </c>
      <c r="B73" s="573"/>
      <c r="C73" s="573"/>
      <c r="D73" s="573"/>
      <c r="E73" s="573"/>
      <c r="F73" s="573"/>
      <c r="G73" s="573"/>
      <c r="H73" s="573"/>
      <c r="I73" s="573"/>
      <c r="J73" s="147"/>
      <c r="K73" s="3"/>
      <c r="L73" s="3"/>
      <c r="M73" s="143"/>
      <c r="N73" s="143"/>
    </row>
    <row r="74" spans="1:15" s="32" customFormat="1" ht="4.5" customHeight="1" x14ac:dyDescent="0.2">
      <c r="B74" s="33"/>
      <c r="C74" s="34"/>
      <c r="D74" s="34"/>
      <c r="E74" s="65"/>
      <c r="F74" s="67"/>
      <c r="G74" s="93"/>
      <c r="H74" s="93"/>
      <c r="I74" s="119"/>
      <c r="K74" s="36"/>
      <c r="L74" s="36"/>
    </row>
    <row r="75" spans="1:15" ht="12.75" customHeight="1" x14ac:dyDescent="0.3">
      <c r="A75" s="311" t="s">
        <v>73</v>
      </c>
      <c r="B75" s="554"/>
      <c r="C75" s="554"/>
      <c r="D75" s="554"/>
      <c r="E75" s="316"/>
      <c r="F75" s="575"/>
      <c r="G75" s="828"/>
      <c r="H75" s="829"/>
      <c r="I75" s="171">
        <f>I71</f>
        <v>26169.000000000004</v>
      </c>
      <c r="J75" s="554"/>
      <c r="K75" s="556"/>
      <c r="L75" s="556"/>
      <c r="M75" s="556"/>
      <c r="N75" s="556"/>
    </row>
    <row r="76" spans="1:15" ht="12.75" customHeight="1" x14ac:dyDescent="0.25">
      <c r="A76" s="48" t="s">
        <v>113</v>
      </c>
      <c r="F76" s="571">
        <v>0</v>
      </c>
      <c r="G76" s="572"/>
      <c r="H76" s="572">
        <v>0</v>
      </c>
      <c r="I76" s="171">
        <f>F76*H76</f>
        <v>0</v>
      </c>
      <c r="M76" s="556"/>
      <c r="N76" s="556"/>
      <c r="O76" s="556"/>
    </row>
    <row r="77" spans="1:15" s="32" customFormat="1" ht="4.5" customHeight="1" x14ac:dyDescent="0.2">
      <c r="B77" s="33"/>
      <c r="C77" s="34"/>
      <c r="D77" s="34"/>
      <c r="E77" s="65"/>
      <c r="F77" s="67"/>
      <c r="G77" s="93"/>
      <c r="H77" s="93"/>
      <c r="I77" s="119"/>
      <c r="K77" s="36"/>
      <c r="L77" s="36"/>
    </row>
    <row r="78" spans="1:15" s="32" customFormat="1" ht="12.75" x14ac:dyDescent="0.2">
      <c r="A78" s="480" t="s">
        <v>204</v>
      </c>
      <c r="B78" s="481"/>
      <c r="C78" s="482"/>
      <c r="D78" s="482"/>
      <c r="E78" s="483"/>
      <c r="F78" s="485"/>
      <c r="G78" s="483"/>
      <c r="H78" s="483"/>
      <c r="I78" s="484">
        <f>I75+I76</f>
        <v>26169.000000000004</v>
      </c>
      <c r="K78" s="36"/>
      <c r="L78" s="36"/>
    </row>
    <row r="79" spans="1:15" s="32" customFormat="1" ht="4.5" customHeight="1" x14ac:dyDescent="0.2">
      <c r="B79" s="33"/>
      <c r="C79" s="34"/>
      <c r="D79" s="34"/>
      <c r="E79" s="65"/>
      <c r="F79" s="67"/>
      <c r="G79" s="93"/>
      <c r="H79" s="93"/>
      <c r="I79" s="119"/>
      <c r="K79" s="36"/>
      <c r="L79" s="36"/>
    </row>
    <row r="80" spans="1:15" s="32" customFormat="1" ht="12.75" x14ac:dyDescent="0.2">
      <c r="A80" s="68" t="s">
        <v>13</v>
      </c>
      <c r="B80" s="33"/>
      <c r="C80" s="34"/>
      <c r="D80" s="34"/>
      <c r="E80" s="76"/>
      <c r="F80" s="495">
        <v>0.04</v>
      </c>
      <c r="G80" s="334"/>
      <c r="H80" s="94"/>
      <c r="I80" s="120">
        <f>ROUND(I78*F80,2)</f>
        <v>1046.76</v>
      </c>
      <c r="K80" s="36"/>
      <c r="L80" s="36"/>
    </row>
    <row r="81" spans="1:12" s="32" customFormat="1" ht="3" customHeight="1" x14ac:dyDescent="0.2">
      <c r="A81" s="69"/>
      <c r="B81" s="70"/>
      <c r="C81" s="71"/>
      <c r="D81" s="71"/>
      <c r="E81" s="77"/>
      <c r="F81" s="240"/>
      <c r="G81" s="249"/>
      <c r="H81" s="95"/>
      <c r="I81" s="121"/>
      <c r="K81" s="36"/>
      <c r="L81" s="36"/>
    </row>
    <row r="82" spans="1:12" s="32" customFormat="1" ht="3" customHeight="1" x14ac:dyDescent="0.2">
      <c r="B82" s="33"/>
      <c r="C82" s="34"/>
      <c r="D82" s="34"/>
      <c r="E82" s="79"/>
      <c r="F82" s="241"/>
      <c r="G82" s="335"/>
      <c r="H82" s="96"/>
      <c r="I82" s="119"/>
      <c r="K82" s="36"/>
      <c r="L82" s="36"/>
    </row>
    <row r="83" spans="1:12" s="32" customFormat="1" ht="12.75" x14ac:dyDescent="0.2">
      <c r="A83" s="480" t="s">
        <v>205</v>
      </c>
      <c r="B83" s="481"/>
      <c r="C83" s="482"/>
      <c r="D83" s="482"/>
      <c r="E83" s="363"/>
      <c r="F83" s="362"/>
      <c r="G83" s="362"/>
      <c r="H83" s="360"/>
      <c r="I83" s="484">
        <f>I78+I80</f>
        <v>27215.760000000002</v>
      </c>
      <c r="K83" s="36"/>
      <c r="L83" s="36"/>
    </row>
    <row r="84" spans="1:12" s="32" customFormat="1" ht="4.5" customHeight="1" x14ac:dyDescent="0.2">
      <c r="A84" s="73"/>
      <c r="B84" s="74"/>
      <c r="C84" s="75"/>
      <c r="D84" s="75"/>
      <c r="E84" s="35"/>
      <c r="F84" s="238"/>
      <c r="G84" s="336"/>
      <c r="H84" s="94"/>
      <c r="I84" s="122"/>
      <c r="K84" s="36"/>
      <c r="L84" s="36"/>
    </row>
    <row r="85" spans="1:12" s="32" customFormat="1" ht="12.75" x14ac:dyDescent="0.2">
      <c r="A85" s="159" t="s">
        <v>150</v>
      </c>
      <c r="B85" s="74"/>
      <c r="C85" s="75"/>
      <c r="D85" s="75"/>
      <c r="E85" s="35"/>
      <c r="F85" s="495">
        <v>0</v>
      </c>
      <c r="G85" s="94"/>
      <c r="H85" s="37"/>
      <c r="I85" s="120">
        <f>ROUND(I83*F85,2)</f>
        <v>0</v>
      </c>
      <c r="K85" s="36"/>
      <c r="L85" s="36"/>
    </row>
    <row r="86" spans="1:12" s="32" customFormat="1" ht="3" customHeight="1" x14ac:dyDescent="0.2">
      <c r="A86" s="69"/>
      <c r="B86" s="70"/>
      <c r="C86" s="71"/>
      <c r="D86" s="71"/>
      <c r="E86" s="77"/>
      <c r="F86" s="240"/>
      <c r="G86" s="249"/>
      <c r="H86" s="95"/>
      <c r="I86" s="121"/>
      <c r="K86" s="36"/>
      <c r="L86" s="36"/>
    </row>
    <row r="87" spans="1:12" s="32" customFormat="1" ht="3" customHeight="1" x14ac:dyDescent="0.2">
      <c r="B87" s="33"/>
      <c r="C87" s="34"/>
      <c r="D87" s="34"/>
      <c r="E87" s="79"/>
      <c r="F87" s="241"/>
      <c r="G87" s="335"/>
      <c r="H87" s="96"/>
      <c r="I87" s="119"/>
      <c r="K87" s="36"/>
      <c r="L87" s="36"/>
    </row>
    <row r="88" spans="1:12" s="32" customFormat="1" ht="12.75" x14ac:dyDescent="0.2">
      <c r="A88" s="480" t="s">
        <v>206</v>
      </c>
      <c r="B88" s="481"/>
      <c r="C88" s="482"/>
      <c r="D88" s="482"/>
      <c r="E88" s="363"/>
      <c r="F88" s="362"/>
      <c r="G88" s="362"/>
      <c r="H88" s="360"/>
      <c r="I88" s="484">
        <f>I83+I85</f>
        <v>27215.760000000002</v>
      </c>
      <c r="K88" s="36"/>
      <c r="L88" s="36"/>
    </row>
    <row r="89" spans="1:12" s="32" customFormat="1" ht="4.5" customHeight="1" x14ac:dyDescent="0.2">
      <c r="A89" s="73"/>
      <c r="B89" s="74"/>
      <c r="C89" s="75"/>
      <c r="D89" s="75"/>
      <c r="E89" s="35"/>
      <c r="F89" s="238"/>
      <c r="G89" s="336"/>
      <c r="H89" s="94"/>
      <c r="I89" s="122"/>
      <c r="K89" s="36"/>
      <c r="L89" s="36"/>
    </row>
    <row r="90" spans="1:12" s="32" customFormat="1" ht="12.75" x14ac:dyDescent="0.2">
      <c r="A90" s="32" t="s">
        <v>14</v>
      </c>
      <c r="B90" s="33"/>
      <c r="D90" s="34"/>
      <c r="E90" s="72"/>
      <c r="F90" s="38">
        <v>0.2</v>
      </c>
      <c r="G90" s="38"/>
      <c r="H90" s="38"/>
      <c r="I90" s="123">
        <f>ROUND(I83*F90,2)</f>
        <v>5443.15</v>
      </c>
      <c r="K90" s="36"/>
      <c r="L90" s="36"/>
    </row>
    <row r="91" spans="1:12" s="32" customFormat="1" ht="3" customHeight="1" x14ac:dyDescent="0.2">
      <c r="A91" s="37"/>
      <c r="B91" s="231"/>
      <c r="C91" s="78"/>
      <c r="D91" s="78"/>
      <c r="E91" s="72"/>
      <c r="F91" s="67"/>
      <c r="G91" s="93"/>
      <c r="H91" s="93"/>
      <c r="I91" s="124"/>
      <c r="K91" s="36"/>
      <c r="L91" s="36"/>
    </row>
    <row r="92" spans="1:12" s="37" customFormat="1" ht="12.75" x14ac:dyDescent="0.2">
      <c r="A92" s="489" t="s">
        <v>207</v>
      </c>
      <c r="B92" s="494"/>
      <c r="C92" s="490"/>
      <c r="D92" s="490"/>
      <c r="E92" s="491"/>
      <c r="F92" s="492"/>
      <c r="G92" s="492"/>
      <c r="H92" s="492"/>
      <c r="I92" s="493">
        <f>SUM(I88:I90)</f>
        <v>32658.910000000003</v>
      </c>
      <c r="K92" s="36"/>
      <c r="L92" s="36"/>
    </row>
    <row r="93" spans="1:12" ht="5.0999999999999996" customHeight="1" x14ac:dyDescent="0.2">
      <c r="F93" s="8"/>
      <c r="G93" s="42"/>
    </row>
  </sheetData>
  <mergeCells count="13">
    <mergeCell ref="A27:B27"/>
    <mergeCell ref="G75:H75"/>
    <mergeCell ref="I30:K30"/>
    <mergeCell ref="A15:B15"/>
    <mergeCell ref="A17:B17"/>
    <mergeCell ref="A19:B19"/>
    <mergeCell ref="A21:B21"/>
    <mergeCell ref="A23:B23"/>
    <mergeCell ref="H2:I2"/>
    <mergeCell ref="A7:B7"/>
    <mergeCell ref="A9:B9"/>
    <mergeCell ref="A11:B11"/>
    <mergeCell ref="A13:B13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&amp;L&amp;"Arial,Fett"&amp;10&amp;K00-044Vergabemodelle&amp;R&amp;"Arial,Fett"&amp;10&amp;K00-045Vertrag Generalplanung - Anhang 3</oddHeader>
    <oddFooter>&amp;L&amp;"Arial,Fett"&amp;9&amp;K01+016Leitfaden Vergabe technische Beratung &amp; Planung &amp;R&amp;"Arial,Standard"&amp;9&amp;K01+016 Juni 2018                              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tabColor theme="8" tint="0.79998168889431442"/>
  </sheetPr>
  <dimension ref="A1:O95"/>
  <sheetViews>
    <sheetView showGridLines="0" tabSelected="1" view="pageLayout" zoomScaleNormal="85" zoomScaleSheetLayoutView="85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2.7109375" style="59" customWidth="1"/>
    <col min="13" max="16384" width="11.5703125" style="1"/>
  </cols>
  <sheetData>
    <row r="1" spans="1:14" ht="5.0999999999999996" customHeight="1" x14ac:dyDescent="0.2"/>
    <row r="2" spans="1:14" s="54" customFormat="1" ht="35.1" customHeight="1" x14ac:dyDescent="0.2">
      <c r="C2" s="13"/>
      <c r="D2" s="103"/>
      <c r="G2" s="55"/>
      <c r="H2" s="820" t="s">
        <v>336</v>
      </c>
      <c r="I2" s="820"/>
      <c r="K2" s="62"/>
      <c r="L2" s="62"/>
    </row>
    <row r="3" spans="1:14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  <c r="L3" s="2"/>
    </row>
    <row r="4" spans="1:14" s="11" customFormat="1" ht="6" customHeight="1" x14ac:dyDescent="0.25">
      <c r="J4" s="2"/>
      <c r="K4" s="2"/>
      <c r="L4" s="2"/>
    </row>
    <row r="5" spans="1:14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K5" s="45"/>
      <c r="L5" s="45"/>
    </row>
    <row r="6" spans="1:14" s="11" customFormat="1" ht="6" customHeight="1" x14ac:dyDescent="0.25">
      <c r="F6" s="98"/>
      <c r="I6" s="2"/>
      <c r="K6" s="2"/>
      <c r="L6" s="2"/>
    </row>
    <row r="7" spans="1:14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F7/_1_9</f>
        <v>2.1739888766278866E-3</v>
      </c>
      <c r="F7" s="389">
        <f>_1</f>
        <v>70000</v>
      </c>
      <c r="G7" s="104"/>
      <c r="H7" s="135">
        <v>0</v>
      </c>
      <c r="I7" s="389">
        <f>F7*H7</f>
        <v>0</v>
      </c>
      <c r="J7" s="50"/>
    </row>
    <row r="8" spans="1:14" ht="2.25" customHeight="1" x14ac:dyDescent="0.25">
      <c r="B8" s="4"/>
      <c r="C8" s="6"/>
      <c r="D8" s="1"/>
      <c r="E8" s="161"/>
      <c r="F8" s="174"/>
      <c r="G8" s="1"/>
      <c r="H8" s="631"/>
      <c r="I8" s="174"/>
      <c r="J8" s="63"/>
      <c r="K8" s="554"/>
      <c r="L8" s="554"/>
      <c r="M8" s="554"/>
      <c r="N8" s="554"/>
    </row>
    <row r="9" spans="1:14" s="12" customFormat="1" ht="12.75" customHeight="1" x14ac:dyDescent="0.2">
      <c r="A9" s="821">
        <v>2</v>
      </c>
      <c r="B9" s="821"/>
      <c r="C9" s="106"/>
      <c r="D9" s="107" t="s">
        <v>1</v>
      </c>
      <c r="E9" s="597">
        <f>F9/_1_9</f>
        <v>0.27951285556644256</v>
      </c>
      <c r="F9" s="389">
        <f>_2</f>
        <v>9000000</v>
      </c>
      <c r="G9" s="104"/>
      <c r="H9" s="135">
        <v>1</v>
      </c>
      <c r="I9" s="389">
        <f>F9*H9</f>
        <v>9000000</v>
      </c>
      <c r="J9" s="50"/>
    </row>
    <row r="10" spans="1:14" ht="2.25" customHeight="1" x14ac:dyDescent="0.25">
      <c r="B10" s="13"/>
      <c r="C10" s="13"/>
      <c r="D10" s="14"/>
      <c r="E10" s="161"/>
      <c r="F10" s="175"/>
      <c r="G10" s="1"/>
      <c r="H10" s="631"/>
      <c r="I10" s="175"/>
      <c r="J10" s="50"/>
      <c r="K10" s="554"/>
      <c r="L10" s="554"/>
      <c r="M10" s="554"/>
      <c r="N10" s="554"/>
    </row>
    <row r="11" spans="1:14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F11/_1_9</f>
        <v>0.25156157000979829</v>
      </c>
      <c r="F11" s="389">
        <f>_3</f>
        <v>8100000</v>
      </c>
      <c r="G11" s="104"/>
      <c r="H11" s="135">
        <v>1</v>
      </c>
      <c r="I11" s="389">
        <f>F11*H11</f>
        <v>8100000</v>
      </c>
      <c r="J11" s="50"/>
    </row>
    <row r="12" spans="1:14" ht="2.25" customHeight="1" x14ac:dyDescent="0.25">
      <c r="B12" s="13"/>
      <c r="C12" s="13"/>
      <c r="D12" s="14"/>
      <c r="E12" s="161"/>
      <c r="F12" s="158"/>
      <c r="G12" s="1"/>
      <c r="H12" s="630"/>
      <c r="I12" s="158"/>
      <c r="J12" s="49"/>
      <c r="K12" s="554"/>
      <c r="L12" s="554"/>
      <c r="M12" s="554"/>
      <c r="N12" s="554"/>
    </row>
    <row r="13" spans="1:14" s="11" customFormat="1" ht="12.75" customHeight="1" x14ac:dyDescent="0.2">
      <c r="A13" s="821">
        <v>4</v>
      </c>
      <c r="B13" s="821"/>
      <c r="C13" s="106"/>
      <c r="D13" s="107" t="s">
        <v>2</v>
      </c>
      <c r="E13" s="597">
        <f>F13/_1_9</f>
        <v>0.20187039568687518</v>
      </c>
      <c r="F13" s="389">
        <f>_4</f>
        <v>6500000</v>
      </c>
      <c r="G13" s="104"/>
      <c r="H13" s="135">
        <v>1</v>
      </c>
      <c r="I13" s="389">
        <f>F13*H13</f>
        <v>6500000</v>
      </c>
      <c r="J13" s="50"/>
    </row>
    <row r="14" spans="1:14" ht="2.25" customHeight="1" x14ac:dyDescent="0.25">
      <c r="B14" s="4"/>
      <c r="C14" s="6"/>
      <c r="D14" s="1"/>
      <c r="E14" s="161"/>
      <c r="F14" s="158"/>
      <c r="G14" s="1"/>
      <c r="H14" s="632"/>
      <c r="I14" s="158"/>
      <c r="J14" s="48"/>
      <c r="K14" s="43"/>
      <c r="L14" s="43"/>
      <c r="M14" s="554"/>
      <c r="N14" s="554"/>
    </row>
    <row r="15" spans="1:14" s="12" customFormat="1" ht="12.95" customHeight="1" x14ac:dyDescent="0.2">
      <c r="A15" s="821">
        <v>5</v>
      </c>
      <c r="B15" s="821"/>
      <c r="C15" s="106"/>
      <c r="D15" s="107" t="s">
        <v>9</v>
      </c>
      <c r="E15" s="597">
        <f>F15/_1_9</f>
        <v>5.1244023520514471E-2</v>
      </c>
      <c r="F15" s="389">
        <f>_5</f>
        <v>1650000</v>
      </c>
      <c r="G15" s="104"/>
      <c r="H15" s="135">
        <v>0</v>
      </c>
      <c r="I15" s="389">
        <f>F15*H15</f>
        <v>0</v>
      </c>
      <c r="J15" s="50"/>
    </row>
    <row r="16" spans="1:14" ht="2.25" customHeight="1" x14ac:dyDescent="0.25">
      <c r="B16" s="13"/>
      <c r="C16" s="13"/>
      <c r="D16" s="14"/>
      <c r="E16" s="161"/>
      <c r="F16" s="175"/>
      <c r="G16" s="1"/>
      <c r="H16" s="631"/>
      <c r="I16" s="175"/>
      <c r="J16" s="50"/>
      <c r="K16" s="43"/>
      <c r="L16" s="43"/>
      <c r="M16" s="554"/>
      <c r="N16" s="554"/>
    </row>
    <row r="17" spans="1:14" s="11" customFormat="1" ht="12.75" customHeight="1" x14ac:dyDescent="0.2">
      <c r="A17" s="821">
        <v>6</v>
      </c>
      <c r="B17" s="821"/>
      <c r="C17" s="106"/>
      <c r="D17" s="107" t="s">
        <v>3</v>
      </c>
      <c r="E17" s="597">
        <f>F17/_1_9</f>
        <v>1.5528491975913475E-2</v>
      </c>
      <c r="F17" s="389">
        <f>_6</f>
        <v>500000</v>
      </c>
      <c r="G17" s="104"/>
      <c r="H17" s="135">
        <v>0</v>
      </c>
      <c r="I17" s="389">
        <f>F17*H17</f>
        <v>0</v>
      </c>
      <c r="J17" s="50"/>
    </row>
    <row r="18" spans="1:14" ht="2.25" customHeight="1" x14ac:dyDescent="0.25">
      <c r="B18" s="17"/>
      <c r="C18" s="5"/>
      <c r="D18" s="1"/>
      <c r="E18" s="164"/>
      <c r="F18" s="158"/>
      <c r="G18" s="1"/>
      <c r="H18" s="632"/>
      <c r="I18" s="158"/>
      <c r="J18" s="50"/>
      <c r="K18" s="18"/>
      <c r="L18" s="18"/>
      <c r="M18" s="555"/>
      <c r="N18" s="555"/>
    </row>
    <row r="19" spans="1:14" s="12" customFormat="1" ht="12.95" customHeight="1" x14ac:dyDescent="0.2">
      <c r="A19" s="821">
        <v>7</v>
      </c>
      <c r="B19" s="821"/>
      <c r="C19" s="106"/>
      <c r="D19" s="107" t="s">
        <v>110</v>
      </c>
      <c r="E19" s="597">
        <f>F19/_1_9</f>
        <v>0.14729944861863917</v>
      </c>
      <c r="F19" s="389">
        <f>_7</f>
        <v>4742876.7985686567</v>
      </c>
      <c r="G19" s="104"/>
      <c r="H19" s="135">
        <v>0</v>
      </c>
      <c r="I19" s="389">
        <f>F19*H19</f>
        <v>0</v>
      </c>
      <c r="J19" s="50"/>
      <c r="K19" s="3"/>
      <c r="L19" s="3"/>
    </row>
    <row r="20" spans="1:14" ht="2.25" customHeight="1" x14ac:dyDescent="0.25">
      <c r="B20" s="13"/>
      <c r="C20" s="13"/>
      <c r="D20" s="14"/>
      <c r="E20" s="164"/>
      <c r="F20" s="175"/>
      <c r="G20" s="1"/>
      <c r="H20" s="631"/>
      <c r="I20" s="175"/>
      <c r="J20" s="50"/>
      <c r="K20" s="18"/>
      <c r="L20" s="18"/>
      <c r="M20" s="555"/>
      <c r="N20" s="554"/>
    </row>
    <row r="21" spans="1:14" s="12" customFormat="1" ht="12.95" customHeight="1" x14ac:dyDescent="0.2">
      <c r="A21" s="821">
        <v>8</v>
      </c>
      <c r="B21" s="821"/>
      <c r="C21" s="106"/>
      <c r="D21" s="107" t="s">
        <v>105</v>
      </c>
      <c r="E21" s="597">
        <f>F21/_1_9</f>
        <v>1.1180514222657702E-3</v>
      </c>
      <c r="F21" s="389">
        <f>_8</f>
        <v>36000</v>
      </c>
      <c r="G21" s="104"/>
      <c r="H21" s="135">
        <v>0</v>
      </c>
      <c r="I21" s="389">
        <f>F21*H21</f>
        <v>0</v>
      </c>
      <c r="J21" s="50"/>
      <c r="K21" s="187"/>
      <c r="L21" s="187"/>
    </row>
    <row r="22" spans="1:14" ht="2.25" customHeight="1" x14ac:dyDescent="0.25">
      <c r="B22" s="13"/>
      <c r="C22" s="13"/>
      <c r="D22" s="14"/>
      <c r="E22" s="164"/>
      <c r="F22" s="158"/>
      <c r="G22" s="1"/>
      <c r="H22" s="630"/>
      <c r="I22" s="158"/>
      <c r="J22" s="49"/>
      <c r="K22" s="30"/>
      <c r="L22" s="30"/>
      <c r="M22" s="555"/>
      <c r="N22" s="554"/>
    </row>
    <row r="23" spans="1:14" s="12" customFormat="1" ht="12.95" customHeight="1" x14ac:dyDescent="0.2">
      <c r="A23" s="821">
        <v>9</v>
      </c>
      <c r="B23" s="821"/>
      <c r="C23" s="106"/>
      <c r="D23" s="107" t="s">
        <v>10</v>
      </c>
      <c r="E23" s="597">
        <f>F23/_1_9</f>
        <v>4.9691174322923123E-2</v>
      </c>
      <c r="F23" s="389">
        <f>_9</f>
        <v>1600000</v>
      </c>
      <c r="G23" s="104"/>
      <c r="H23" s="135">
        <v>0.05</v>
      </c>
      <c r="I23" s="389">
        <f>F23*H23</f>
        <v>80000</v>
      </c>
      <c r="J23" s="50"/>
      <c r="K23" s="30"/>
      <c r="L23" s="30"/>
    </row>
    <row r="24" spans="1:14" ht="12" customHeight="1" x14ac:dyDescent="0.2">
      <c r="B24" s="17"/>
      <c r="C24" s="5"/>
      <c r="D24" s="1"/>
      <c r="E24" s="47"/>
      <c r="F24" s="1"/>
      <c r="G24" s="1"/>
      <c r="H24" s="1"/>
      <c r="I24" s="1"/>
      <c r="K24" s="1"/>
      <c r="L24" s="1"/>
    </row>
    <row r="25" spans="1:14" ht="12.95" customHeight="1" x14ac:dyDescent="0.2">
      <c r="A25" s="538" t="s">
        <v>12</v>
      </c>
      <c r="B25" s="539"/>
      <c r="C25" s="539"/>
      <c r="D25" s="539"/>
      <c r="E25" s="148">
        <f>SUM(E3:E23)</f>
        <v>0.99999999999999989</v>
      </c>
      <c r="F25" s="146">
        <f>SUM(F7:F23)</f>
        <v>32198876.798568659</v>
      </c>
      <c r="H25" s="216"/>
      <c r="I25" s="146">
        <f>SUM(I7:I23)</f>
        <v>23680000</v>
      </c>
      <c r="K25" s="30"/>
      <c r="L25" s="1"/>
    </row>
    <row r="26" spans="1:14" ht="4.5" customHeight="1" x14ac:dyDescent="0.25">
      <c r="B26" s="13"/>
      <c r="C26" s="13"/>
      <c r="D26" s="14"/>
      <c r="E26" s="47"/>
      <c r="F26" s="14"/>
      <c r="G26" s="1"/>
      <c r="H26" s="19"/>
      <c r="I26" s="15"/>
      <c r="J26" s="18"/>
      <c r="K26" s="30"/>
      <c r="L26" s="555"/>
      <c r="M26" s="554"/>
    </row>
    <row r="27" spans="1:14" s="11" customFormat="1" ht="12.95" customHeight="1" x14ac:dyDescent="0.2">
      <c r="A27" s="821"/>
      <c r="B27" s="821"/>
      <c r="C27" s="106" t="s">
        <v>432</v>
      </c>
      <c r="D27" s="107"/>
      <c r="E27" s="803"/>
      <c r="F27" s="389">
        <f>_mvB</f>
        <v>110000</v>
      </c>
      <c r="G27" s="104"/>
      <c r="H27" s="135">
        <v>1</v>
      </c>
      <c r="I27" s="389">
        <f>F27*H27</f>
        <v>110000</v>
      </c>
      <c r="J27" s="50"/>
    </row>
    <row r="28" spans="1:14" ht="4.5" customHeight="1" x14ac:dyDescent="0.2">
      <c r="B28" s="13"/>
      <c r="C28" s="13"/>
      <c r="D28" s="14"/>
      <c r="E28" s="1"/>
      <c r="F28" s="47"/>
      <c r="G28" s="14"/>
      <c r="H28" s="19"/>
      <c r="I28" s="15"/>
      <c r="K28" s="18"/>
      <c r="L28" s="1"/>
    </row>
    <row r="29" spans="1:14" s="20" customFormat="1" ht="12.95" customHeight="1" x14ac:dyDescent="0.3">
      <c r="A29" s="538" t="s">
        <v>32</v>
      </c>
      <c r="B29" s="539"/>
      <c r="C29" s="539"/>
      <c r="D29" s="539"/>
      <c r="E29" s="531"/>
      <c r="F29" s="531"/>
      <c r="G29" s="531"/>
      <c r="H29" s="338"/>
      <c r="I29" s="146">
        <f>SUM(I7:I23)</f>
        <v>23680000</v>
      </c>
      <c r="K29" s="64"/>
    </row>
    <row r="30" spans="1:14" s="20" customFormat="1" ht="13.5" customHeight="1" x14ac:dyDescent="0.3">
      <c r="A30" s="435"/>
      <c r="B30" s="149"/>
      <c r="C30" s="149"/>
      <c r="D30" s="149"/>
      <c r="E30" s="92"/>
      <c r="F30" s="92"/>
      <c r="G30" s="92"/>
      <c r="H30" s="436"/>
      <c r="I30" s="437"/>
      <c r="J30" s="437"/>
      <c r="K30" s="437"/>
      <c r="L30" s="64"/>
    </row>
    <row r="31" spans="1:14" ht="12.75" customHeight="1" x14ac:dyDescent="0.2">
      <c r="A31" s="340" t="s">
        <v>83</v>
      </c>
      <c r="B31" s="341"/>
      <c r="C31" s="341"/>
      <c r="D31" s="341"/>
      <c r="E31" s="341"/>
      <c r="F31" s="341"/>
      <c r="G31" s="341"/>
      <c r="H31" s="341"/>
      <c r="I31" s="359"/>
      <c r="J31" s="308"/>
      <c r="K31" s="18"/>
      <c r="L31" s="18"/>
    </row>
    <row r="32" spans="1:14" ht="12.75" customHeight="1" x14ac:dyDescent="0.2">
      <c r="A32" s="25"/>
      <c r="B32" s="25"/>
      <c r="C32" s="25"/>
      <c r="D32" s="1"/>
      <c r="E32" s="1"/>
      <c r="F32" s="197" t="s">
        <v>5</v>
      </c>
      <c r="H32" s="198" t="s">
        <v>4</v>
      </c>
      <c r="I32" s="309"/>
      <c r="J32" s="220"/>
      <c r="K32" s="18"/>
      <c r="L32" s="58"/>
    </row>
    <row r="33" spans="1:14" ht="12.75" customHeight="1" x14ac:dyDescent="0.2">
      <c r="B33" s="26" t="s">
        <v>46</v>
      </c>
      <c r="C33" s="60"/>
      <c r="D33" s="51"/>
      <c r="E33" s="51"/>
      <c r="F33" s="151">
        <v>20</v>
      </c>
      <c r="G33" s="199"/>
      <c r="H33" s="199" t="s">
        <v>58</v>
      </c>
      <c r="I33" s="309"/>
      <c r="K33" s="58"/>
      <c r="L33" s="58"/>
    </row>
    <row r="34" spans="1:14" ht="12.75" customHeight="1" x14ac:dyDescent="0.2">
      <c r="B34" s="27" t="s">
        <v>47</v>
      </c>
      <c r="C34" s="61"/>
      <c r="D34" s="52"/>
      <c r="E34" s="52"/>
      <c r="F34" s="151">
        <v>2</v>
      </c>
      <c r="G34" s="199"/>
      <c r="H34" s="200" t="s">
        <v>6</v>
      </c>
      <c r="I34" s="309"/>
      <c r="K34" s="58"/>
      <c r="L34" s="58"/>
    </row>
    <row r="35" spans="1:14" ht="12.75" customHeight="1" x14ac:dyDescent="0.2">
      <c r="B35" s="27" t="s">
        <v>48</v>
      </c>
      <c r="C35" s="61"/>
      <c r="D35" s="52"/>
      <c r="E35" s="52"/>
      <c r="F35" s="151">
        <v>1</v>
      </c>
      <c r="G35" s="199"/>
      <c r="H35" s="200" t="s">
        <v>6</v>
      </c>
      <c r="I35" s="309"/>
      <c r="K35" s="58"/>
      <c r="L35" s="58"/>
    </row>
    <row r="36" spans="1:14" ht="12.75" customHeight="1" x14ac:dyDescent="0.2">
      <c r="B36" s="27" t="s">
        <v>49</v>
      </c>
      <c r="C36" s="52"/>
      <c r="D36" s="52"/>
      <c r="E36" s="52"/>
      <c r="F36" s="151">
        <v>2</v>
      </c>
      <c r="G36" s="199"/>
      <c r="H36" s="200" t="s">
        <v>6</v>
      </c>
      <c r="I36" s="309"/>
      <c r="K36" s="58"/>
      <c r="L36" s="58"/>
    </row>
    <row r="37" spans="1:14" ht="4.5" customHeight="1" x14ac:dyDescent="0.2">
      <c r="A37" s="40"/>
      <c r="B37" s="40"/>
      <c r="C37" s="40"/>
      <c r="D37" s="1"/>
      <c r="E37" s="1"/>
      <c r="F37" s="201"/>
      <c r="H37" s="201"/>
      <c r="I37" s="309"/>
      <c r="K37" s="58"/>
      <c r="L37" s="58"/>
    </row>
    <row r="38" spans="1:14" ht="12.75" customHeight="1" x14ac:dyDescent="0.25">
      <c r="B38" s="27" t="s">
        <v>141</v>
      </c>
      <c r="C38" s="61"/>
      <c r="D38" s="52"/>
      <c r="E38" s="52"/>
      <c r="F38" s="563"/>
      <c r="G38" s="329"/>
      <c r="H38" s="200" t="s">
        <v>6</v>
      </c>
      <c r="I38" s="309"/>
      <c r="K38" s="58"/>
      <c r="L38" s="554"/>
      <c r="M38" s="554"/>
      <c r="N38" s="554"/>
    </row>
    <row r="39" spans="1:14" ht="12.75" customHeight="1" x14ac:dyDescent="0.25">
      <c r="B39" s="27" t="s">
        <v>185</v>
      </c>
      <c r="C39" s="61"/>
      <c r="D39" s="52"/>
      <c r="E39" s="52"/>
      <c r="F39" s="563"/>
      <c r="G39" s="329"/>
      <c r="H39" s="200" t="s">
        <v>57</v>
      </c>
      <c r="I39" s="309"/>
      <c r="J39" s="58"/>
      <c r="K39" s="554"/>
      <c r="L39" s="554"/>
      <c r="M39" s="554"/>
      <c r="N39" s="554"/>
    </row>
    <row r="40" spans="1:14" ht="12.75" customHeight="1" x14ac:dyDescent="0.25">
      <c r="B40" s="27" t="s">
        <v>143</v>
      </c>
      <c r="C40" s="61"/>
      <c r="D40" s="52"/>
      <c r="E40" s="52"/>
      <c r="F40" s="563"/>
      <c r="G40" s="329"/>
      <c r="H40" s="200" t="s">
        <v>57</v>
      </c>
      <c r="I40" s="309"/>
      <c r="J40" s="58"/>
      <c r="K40" s="554"/>
      <c r="L40" s="554"/>
      <c r="M40" s="554"/>
      <c r="N40" s="554"/>
    </row>
    <row r="41" spans="1:14" ht="12.75" customHeight="1" x14ac:dyDescent="0.25">
      <c r="B41" s="27" t="s">
        <v>144</v>
      </c>
      <c r="C41" s="61"/>
      <c r="D41" s="52"/>
      <c r="E41" s="52"/>
      <c r="F41" s="563"/>
      <c r="G41" s="329"/>
      <c r="H41" s="200" t="s">
        <v>57</v>
      </c>
      <c r="I41" s="309"/>
      <c r="J41" s="58"/>
      <c r="K41" s="554"/>
      <c r="L41" s="554"/>
      <c r="M41" s="554"/>
      <c r="N41" s="554"/>
    </row>
    <row r="42" spans="1:14" ht="12.75" customHeight="1" x14ac:dyDescent="0.25">
      <c r="B42" s="27" t="s">
        <v>181</v>
      </c>
      <c r="C42" s="61"/>
      <c r="D42" s="52"/>
      <c r="E42" s="52"/>
      <c r="F42" s="563"/>
      <c r="G42" s="329"/>
      <c r="H42" s="200" t="s">
        <v>188</v>
      </c>
      <c r="I42" s="309"/>
      <c r="J42" s="58"/>
      <c r="K42" s="554"/>
      <c r="L42" s="554"/>
      <c r="M42" s="554"/>
      <c r="N42" s="554"/>
    </row>
    <row r="43" spans="1:14" ht="12.75" customHeight="1" x14ac:dyDescent="0.25">
      <c r="B43" s="27" t="s">
        <v>183</v>
      </c>
      <c r="C43" s="61"/>
      <c r="D43" s="52"/>
      <c r="E43" s="52"/>
      <c r="F43" s="563"/>
      <c r="G43" s="329"/>
      <c r="H43" s="200" t="s">
        <v>173</v>
      </c>
      <c r="I43" s="309"/>
      <c r="J43" s="58"/>
      <c r="K43" s="554"/>
      <c r="L43" s="554"/>
      <c r="M43" s="554"/>
      <c r="N43" s="554"/>
    </row>
    <row r="44" spans="1:14" ht="12.75" customHeight="1" x14ac:dyDescent="0.25">
      <c r="B44" s="27" t="s">
        <v>182</v>
      </c>
      <c r="C44" s="61"/>
      <c r="D44" s="52"/>
      <c r="E44" s="52"/>
      <c r="F44" s="563"/>
      <c r="G44" s="329"/>
      <c r="H44" s="200" t="s">
        <v>6</v>
      </c>
      <c r="I44" s="309"/>
      <c r="J44" s="58"/>
      <c r="K44" s="554"/>
      <c r="L44" s="554"/>
    </row>
    <row r="45" spans="1:14" ht="4.5" customHeight="1" x14ac:dyDescent="0.25">
      <c r="A45" s="40"/>
      <c r="B45" s="40"/>
      <c r="C45" s="1"/>
      <c r="D45" s="203"/>
      <c r="E45" s="203"/>
      <c r="F45" s="203"/>
      <c r="H45" s="203"/>
      <c r="I45" s="309"/>
      <c r="J45" s="1"/>
      <c r="K45" s="554"/>
      <c r="L45" s="1"/>
    </row>
    <row r="46" spans="1:14" ht="12.75" customHeight="1" x14ac:dyDescent="0.2">
      <c r="B46" s="25" t="s">
        <v>45</v>
      </c>
      <c r="C46" s="1"/>
      <c r="D46" s="202"/>
      <c r="E46" s="203"/>
      <c r="F46" s="204">
        <f>SUM(F33:F44)</f>
        <v>25</v>
      </c>
      <c r="H46" s="203"/>
      <c r="I46" s="309"/>
      <c r="K46" s="1"/>
      <c r="L46" s="1"/>
    </row>
    <row r="47" spans="1:14" ht="12.95" customHeight="1" x14ac:dyDescent="0.2">
      <c r="B47" s="40"/>
      <c r="C47" s="1"/>
      <c r="D47" s="203"/>
      <c r="E47" s="203"/>
      <c r="F47" s="203"/>
      <c r="H47" s="203"/>
      <c r="I47" s="309"/>
      <c r="K47" s="1"/>
      <c r="L47" s="1"/>
    </row>
    <row r="48" spans="1:14" ht="12.95" customHeight="1" x14ac:dyDescent="0.2">
      <c r="A48" s="448" t="s">
        <v>171</v>
      </c>
      <c r="B48" s="340"/>
      <c r="C48" s="341"/>
      <c r="D48" s="341"/>
      <c r="E48" s="341"/>
      <c r="F48" s="341"/>
      <c r="G48" s="343"/>
      <c r="H48" s="341"/>
      <c r="I48" s="358"/>
      <c r="K48" s="1"/>
      <c r="L48" s="18"/>
    </row>
    <row r="49" spans="1:12" ht="4.5" customHeight="1" x14ac:dyDescent="0.2">
      <c r="A49" s="205"/>
      <c r="B49" s="205"/>
      <c r="C49" s="205"/>
      <c r="D49" s="205"/>
      <c r="F49" s="8"/>
      <c r="I49" s="1"/>
      <c r="K49" s="18"/>
      <c r="L49" s="18"/>
    </row>
    <row r="50" spans="1:12" ht="14.25" customHeight="1" x14ac:dyDescent="0.2">
      <c r="A50" s="206" t="s">
        <v>77</v>
      </c>
      <c r="B50" s="206"/>
      <c r="C50" s="1"/>
      <c r="F50" s="237">
        <f>I29</f>
        <v>23680000</v>
      </c>
      <c r="I50" s="1"/>
      <c r="K50" s="18"/>
      <c r="L50" s="18"/>
    </row>
    <row r="51" spans="1:12" ht="14.25" customHeight="1" x14ac:dyDescent="0.25">
      <c r="A51" s="24" t="s">
        <v>108</v>
      </c>
      <c r="B51" s="28"/>
      <c r="C51" s="28"/>
      <c r="D51" s="1"/>
      <c r="E51" s="1"/>
      <c r="F51" s="154">
        <v>9500</v>
      </c>
      <c r="I51" s="442"/>
      <c r="K51" s="18"/>
      <c r="L51" s="18"/>
    </row>
    <row r="52" spans="1:12" ht="14.25" customHeight="1" x14ac:dyDescent="0.25">
      <c r="A52" s="24" t="s">
        <v>109</v>
      </c>
      <c r="B52" s="28"/>
      <c r="C52" s="28"/>
      <c r="D52" s="1"/>
      <c r="E52" s="1"/>
      <c r="F52" s="154">
        <v>1000</v>
      </c>
      <c r="I52" s="442"/>
      <c r="K52" s="18"/>
      <c r="L52" s="18"/>
    </row>
    <row r="53" spans="1:12" ht="14.25" customHeight="1" x14ac:dyDescent="0.25">
      <c r="A53" s="28" t="s">
        <v>75</v>
      </c>
      <c r="B53" s="28"/>
      <c r="C53" s="28"/>
      <c r="D53" s="1"/>
      <c r="E53" s="1"/>
      <c r="F53" s="131">
        <f>0.057*F46+0.367</f>
        <v>1.792</v>
      </c>
      <c r="H53" s="155"/>
      <c r="I53" s="442"/>
      <c r="K53" s="18"/>
      <c r="L53" s="18"/>
    </row>
    <row r="54" spans="1:12" ht="14.25" customHeight="1" x14ac:dyDescent="0.25">
      <c r="A54" s="28" t="s">
        <v>76</v>
      </c>
      <c r="B54" s="28"/>
      <c r="C54" s="28"/>
      <c r="D54" s="1"/>
      <c r="E54" s="1"/>
      <c r="F54" s="207">
        <f>ROUND(439.8031*F50^(-0.476)*F53/100,4)</f>
        <v>2.3999999999999998E-3</v>
      </c>
      <c r="G54" s="449" t="s">
        <v>107</v>
      </c>
      <c r="H54" s="234"/>
      <c r="I54" s="442"/>
      <c r="J54" s="15"/>
      <c r="K54" s="18"/>
      <c r="L54" s="18"/>
    </row>
    <row r="55" spans="1:12" ht="14.25" customHeight="1" x14ac:dyDescent="0.3">
      <c r="A55" s="311" t="s">
        <v>209</v>
      </c>
      <c r="B55" s="25"/>
      <c r="C55" s="25"/>
      <c r="D55" s="312"/>
      <c r="E55" s="208"/>
      <c r="F55" s="323">
        <f>F50*F54/F51*F52</f>
        <v>5982.3157894736833</v>
      </c>
      <c r="G55" s="551" t="s">
        <v>174</v>
      </c>
      <c r="H55" s="209"/>
      <c r="I55" s="1"/>
      <c r="J55" s="15"/>
      <c r="K55" s="18"/>
      <c r="L55" s="18"/>
    </row>
    <row r="56" spans="1:12" ht="15" customHeight="1" x14ac:dyDescent="0.2">
      <c r="A56" s="311"/>
      <c r="B56" s="25"/>
      <c r="C56" s="25"/>
      <c r="D56" s="312"/>
      <c r="E56" s="208"/>
      <c r="F56" s="326"/>
      <c r="G56" s="450"/>
      <c r="H56" s="209"/>
      <c r="I56" s="1"/>
      <c r="J56" s="41"/>
      <c r="K56" s="18"/>
      <c r="L56" s="18"/>
    </row>
    <row r="57" spans="1:12" ht="12.95" customHeight="1" x14ac:dyDescent="0.2">
      <c r="A57" s="472" t="s">
        <v>170</v>
      </c>
      <c r="B57" s="358"/>
      <c r="C57" s="351"/>
      <c r="D57" s="352"/>
      <c r="E57" s="352"/>
      <c r="F57" s="346"/>
      <c r="G57" s="447"/>
      <c r="H57" s="353"/>
      <c r="I57" s="358"/>
      <c r="J57" s="41"/>
      <c r="K57" s="18"/>
      <c r="L57" s="18"/>
    </row>
    <row r="58" spans="1:12" ht="4.5" customHeight="1" x14ac:dyDescent="0.25">
      <c r="A58" s="39"/>
      <c r="B58" s="40"/>
      <c r="C58" s="40"/>
      <c r="D58" s="208"/>
      <c r="E58" s="208"/>
      <c r="F58" s="209"/>
      <c r="H58" s="209"/>
      <c r="I58" s="57"/>
      <c r="J58" s="514"/>
      <c r="L58" s="18"/>
    </row>
    <row r="59" spans="1:12" ht="12.75" customHeight="1" x14ac:dyDescent="0.25">
      <c r="A59" s="210" t="s">
        <v>98</v>
      </c>
      <c r="B59" s="210"/>
      <c r="C59" s="211"/>
      <c r="D59" s="1"/>
      <c r="E59" s="616">
        <v>0.03</v>
      </c>
      <c r="F59" s="243">
        <v>0.03</v>
      </c>
      <c r="H59" s="212">
        <v>1</v>
      </c>
      <c r="I59" s="619">
        <f>IF($F$50=0,"-",$F$55*F59)</f>
        <v>179.4694736842105</v>
      </c>
      <c r="J59" s="514"/>
    </row>
    <row r="60" spans="1:12" ht="12.75" customHeight="1" x14ac:dyDescent="0.25">
      <c r="A60" s="210" t="s">
        <v>36</v>
      </c>
      <c r="B60" s="210"/>
      <c r="C60" s="211"/>
      <c r="D60" s="1"/>
      <c r="E60" s="616">
        <v>0.17</v>
      </c>
      <c r="F60" s="244">
        <v>0.17</v>
      </c>
      <c r="H60" s="212">
        <v>2</v>
      </c>
      <c r="I60" s="619">
        <f t="shared" ref="I60:I71" si="0">IF($F$50=0,"-",$F$55*F60)</f>
        <v>1016.9936842105262</v>
      </c>
      <c r="J60" s="514"/>
    </row>
    <row r="61" spans="1:12" ht="12.75" customHeight="1" x14ac:dyDescent="0.25">
      <c r="A61" s="210" t="s">
        <v>37</v>
      </c>
      <c r="B61" s="210"/>
      <c r="C61" s="211"/>
      <c r="D61" s="1"/>
      <c r="E61" s="616">
        <v>0.35</v>
      </c>
      <c r="F61" s="244">
        <v>0.35</v>
      </c>
      <c r="H61" s="212">
        <v>3</v>
      </c>
      <c r="I61" s="619">
        <f t="shared" si="0"/>
        <v>2093.810526315789</v>
      </c>
      <c r="J61" s="514"/>
    </row>
    <row r="62" spans="1:12" ht="12.75" customHeight="1" x14ac:dyDescent="0.25">
      <c r="A62" s="210" t="s">
        <v>38</v>
      </c>
      <c r="B62" s="210"/>
      <c r="C62" s="211"/>
      <c r="D62" s="1"/>
      <c r="E62" s="616">
        <v>0.05</v>
      </c>
      <c r="F62" s="244">
        <v>0.05</v>
      </c>
      <c r="H62" s="212">
        <v>4</v>
      </c>
      <c r="I62" s="619">
        <f t="shared" si="0"/>
        <v>299.11578947368417</v>
      </c>
      <c r="J62" s="514"/>
    </row>
    <row r="63" spans="1:12" ht="12.75" customHeight="1" x14ac:dyDescent="0.25">
      <c r="A63" s="210" t="s">
        <v>69</v>
      </c>
      <c r="B63" s="210"/>
      <c r="C63" s="211"/>
      <c r="D63" s="1"/>
      <c r="E63" s="616">
        <v>0.27</v>
      </c>
      <c r="F63" s="244">
        <v>0.27</v>
      </c>
      <c r="H63" s="212">
        <v>5</v>
      </c>
      <c r="I63" s="619">
        <f t="shared" si="0"/>
        <v>1615.2252631578947</v>
      </c>
      <c r="J63" s="514"/>
    </row>
    <row r="64" spans="1:12" ht="12.75" customHeight="1" x14ac:dyDescent="0.25">
      <c r="A64" s="210" t="s">
        <v>40</v>
      </c>
      <c r="B64" s="210"/>
      <c r="C64" s="211"/>
      <c r="D64" s="1"/>
      <c r="E64" s="616">
        <v>0.02</v>
      </c>
      <c r="F64" s="244">
        <v>0.02</v>
      </c>
      <c r="H64" s="212">
        <v>6</v>
      </c>
      <c r="I64" s="619">
        <f t="shared" si="0"/>
        <v>119.64631578947366</v>
      </c>
      <c r="J64" s="514"/>
    </row>
    <row r="65" spans="1:15" ht="12.75" customHeight="1" x14ac:dyDescent="0.2">
      <c r="A65" s="210" t="s">
        <v>61</v>
      </c>
      <c r="B65" s="210"/>
      <c r="C65" s="211"/>
      <c r="D65" s="1"/>
      <c r="E65" s="616">
        <v>0.02</v>
      </c>
      <c r="F65" s="244">
        <v>0.02</v>
      </c>
      <c r="H65" s="212"/>
      <c r="I65" s="620">
        <f t="shared" si="0"/>
        <v>119.64631578947366</v>
      </c>
      <c r="J65" s="659"/>
      <c r="K65" s="666"/>
    </row>
    <row r="66" spans="1:15" ht="12.75" customHeight="1" x14ac:dyDescent="0.2">
      <c r="A66" s="210" t="s">
        <v>54</v>
      </c>
      <c r="B66" s="210"/>
      <c r="C66" s="211"/>
      <c r="D66" s="1"/>
      <c r="E66" s="616">
        <v>0.09</v>
      </c>
      <c r="F66" s="244">
        <v>0.09</v>
      </c>
      <c r="H66" s="212">
        <v>7</v>
      </c>
      <c r="I66" s="620">
        <f t="shared" si="0"/>
        <v>538.40842105263152</v>
      </c>
      <c r="J66" s="669"/>
      <c r="K66" s="669"/>
    </row>
    <row r="67" spans="1:15" ht="12.75" customHeight="1" x14ac:dyDescent="0.2">
      <c r="A67" s="193" t="s">
        <v>70</v>
      </c>
      <c r="B67" s="193"/>
      <c r="C67" s="211"/>
      <c r="D67" s="1"/>
      <c r="E67" s="616">
        <v>0</v>
      </c>
      <c r="F67" s="244">
        <v>0</v>
      </c>
      <c r="H67" s="212">
        <v>8</v>
      </c>
      <c r="I67" s="619">
        <f t="shared" si="0"/>
        <v>0</v>
      </c>
      <c r="J67" s="670"/>
      <c r="K67" s="670"/>
    </row>
    <row r="68" spans="1:15" ht="12.75" customHeight="1" x14ac:dyDescent="0.2">
      <c r="A68" s="294" t="s">
        <v>55</v>
      </c>
      <c r="B68" s="294"/>
      <c r="C68" s="295"/>
      <c r="D68" s="1"/>
      <c r="E68" s="616">
        <v>0</v>
      </c>
      <c r="F68" s="429">
        <v>0</v>
      </c>
      <c r="H68" s="296">
        <v>9</v>
      </c>
      <c r="I68" s="619">
        <f t="shared" si="0"/>
        <v>0</v>
      </c>
      <c r="J68" s="670"/>
      <c r="K68" s="670"/>
    </row>
    <row r="69" spans="1:15" s="303" customFormat="1" ht="12.75" customHeight="1" x14ac:dyDescent="0.25">
      <c r="A69" s="580" t="s">
        <v>164</v>
      </c>
      <c r="B69" s="580"/>
      <c r="C69" s="581"/>
      <c r="E69" s="582"/>
      <c r="F69" s="609">
        <v>0</v>
      </c>
      <c r="I69" s="619">
        <f t="shared" si="0"/>
        <v>0</v>
      </c>
      <c r="J69" s="301"/>
      <c r="K69" s="667"/>
      <c r="L69" s="302"/>
      <c r="M69" s="302"/>
      <c r="N69" s="302"/>
    </row>
    <row r="70" spans="1:15" s="303" customFormat="1" ht="12.75" customHeight="1" x14ac:dyDescent="0.25">
      <c r="A70" s="580" t="s">
        <v>164</v>
      </c>
      <c r="B70" s="580"/>
      <c r="C70" s="581"/>
      <c r="E70" s="582"/>
      <c r="F70" s="609">
        <v>0</v>
      </c>
      <c r="I70" s="619">
        <f t="shared" si="0"/>
        <v>0</v>
      </c>
      <c r="J70" s="301"/>
      <c r="K70" s="667"/>
      <c r="L70" s="302"/>
      <c r="M70" s="302"/>
      <c r="N70" s="302"/>
    </row>
    <row r="71" spans="1:15" s="303" customFormat="1" ht="12.75" customHeight="1" x14ac:dyDescent="0.25">
      <c r="A71" s="297" t="s">
        <v>164</v>
      </c>
      <c r="B71" s="297"/>
      <c r="C71" s="298"/>
      <c r="D71" s="299"/>
      <c r="E71" s="300"/>
      <c r="F71" s="610">
        <v>0</v>
      </c>
      <c r="G71" s="299"/>
      <c r="H71" s="299"/>
      <c r="I71" s="619">
        <f t="shared" si="0"/>
        <v>0</v>
      </c>
      <c r="J71" s="514"/>
      <c r="K71" s="59"/>
      <c r="L71" s="302"/>
      <c r="M71" s="302"/>
      <c r="N71" s="302"/>
    </row>
    <row r="72" spans="1:15" ht="12.75" customHeight="1" x14ac:dyDescent="0.25">
      <c r="A72" s="213" t="s">
        <v>190</v>
      </c>
      <c r="B72" s="193"/>
      <c r="C72" s="28"/>
      <c r="D72" s="1"/>
      <c r="E72" s="384">
        <f>SUM(E59:E68)</f>
        <v>1.0000000000000002</v>
      </c>
      <c r="F72" s="246">
        <f>SUM(F59:F71)</f>
        <v>1.0000000000000002</v>
      </c>
      <c r="I72" s="624">
        <f>SUM(I59:I71)-I66</f>
        <v>5443.9073684210534</v>
      </c>
      <c r="J72" s="514"/>
    </row>
    <row r="73" spans="1:15" ht="12.75" customHeight="1" x14ac:dyDescent="0.2">
      <c r="F73" s="139"/>
      <c r="J73" s="147"/>
      <c r="K73" s="3"/>
    </row>
    <row r="74" spans="1:15" ht="12.75" customHeight="1" x14ac:dyDescent="0.2">
      <c r="A74" s="472" t="s">
        <v>172</v>
      </c>
      <c r="B74" s="472"/>
      <c r="C74" s="472"/>
      <c r="D74" s="472"/>
      <c r="E74" s="472"/>
      <c r="F74" s="472"/>
      <c r="G74" s="472"/>
      <c r="H74" s="472"/>
      <c r="I74" s="472"/>
      <c r="J74" s="32"/>
      <c r="K74" s="36"/>
      <c r="L74" s="3"/>
      <c r="M74" s="143"/>
      <c r="N74" s="143"/>
    </row>
    <row r="75" spans="1:15" s="32" customFormat="1" ht="4.5" customHeight="1" x14ac:dyDescent="0.25">
      <c r="B75" s="33"/>
      <c r="C75" s="34"/>
      <c r="D75" s="34"/>
      <c r="E75" s="65"/>
      <c r="F75" s="67"/>
      <c r="G75" s="93"/>
      <c r="H75" s="93"/>
      <c r="I75" s="119"/>
      <c r="J75" s="554"/>
      <c r="K75" s="556"/>
      <c r="L75" s="36"/>
    </row>
    <row r="76" spans="1:15" ht="12.75" customHeight="1" x14ac:dyDescent="0.3">
      <c r="A76" s="311" t="s">
        <v>208</v>
      </c>
      <c r="B76" s="451"/>
      <c r="C76" s="451"/>
      <c r="D76" s="451"/>
      <c r="E76" s="316"/>
      <c r="F76" s="474"/>
      <c r="G76" s="828"/>
      <c r="H76" s="829"/>
      <c r="I76" s="599">
        <f>I72</f>
        <v>5443.9073684210534</v>
      </c>
      <c r="L76" s="452"/>
      <c r="M76" s="452"/>
      <c r="N76" s="452"/>
    </row>
    <row r="77" spans="1:15" ht="12.75" customHeight="1" x14ac:dyDescent="0.25">
      <c r="A77" s="48" t="s">
        <v>113</v>
      </c>
      <c r="F77" s="470">
        <v>0</v>
      </c>
      <c r="G77" s="572"/>
      <c r="H77" s="471">
        <v>0</v>
      </c>
      <c r="I77" s="599">
        <f>F77*H77</f>
        <v>0</v>
      </c>
      <c r="J77" s="32"/>
      <c r="K77" s="36"/>
      <c r="M77" s="452"/>
      <c r="N77" s="452"/>
      <c r="O77" s="452"/>
    </row>
    <row r="78" spans="1:15" s="32" customFormat="1" ht="4.5" customHeight="1" x14ac:dyDescent="0.2">
      <c r="B78" s="33"/>
      <c r="C78" s="34"/>
      <c r="D78" s="34"/>
      <c r="E78" s="65"/>
      <c r="F78" s="67"/>
      <c r="G78" s="93"/>
      <c r="H78" s="93"/>
      <c r="I78" s="119"/>
      <c r="K78" s="36"/>
      <c r="L78" s="36"/>
    </row>
    <row r="79" spans="1:15" s="32" customFormat="1" ht="12.75" x14ac:dyDescent="0.2">
      <c r="A79" s="455" t="s">
        <v>213</v>
      </c>
      <c r="B79" s="456"/>
      <c r="C79" s="457"/>
      <c r="D79" s="457"/>
      <c r="E79" s="458"/>
      <c r="F79" s="460"/>
      <c r="G79" s="458"/>
      <c r="H79" s="458"/>
      <c r="I79" s="459">
        <f>I76+I77</f>
        <v>5443.9073684210534</v>
      </c>
      <c r="K79" s="36"/>
      <c r="L79" s="36"/>
    </row>
    <row r="80" spans="1:15" s="32" customFormat="1" ht="4.5" customHeight="1" x14ac:dyDescent="0.2">
      <c r="B80" s="33"/>
      <c r="C80" s="34"/>
      <c r="D80" s="34"/>
      <c r="E80" s="65"/>
      <c r="F80" s="67"/>
      <c r="G80" s="93"/>
      <c r="H80" s="93"/>
      <c r="I80" s="119"/>
      <c r="K80" s="36"/>
      <c r="L80" s="36"/>
    </row>
    <row r="81" spans="1:12" s="32" customFormat="1" ht="12.75" x14ac:dyDescent="0.2">
      <c r="A81" s="68" t="s">
        <v>13</v>
      </c>
      <c r="B81" s="33"/>
      <c r="C81" s="34"/>
      <c r="D81" s="34"/>
      <c r="E81" s="76"/>
      <c r="F81" s="469">
        <v>0.04</v>
      </c>
      <c r="G81" s="334"/>
      <c r="H81" s="94"/>
      <c r="I81" s="120">
        <f>ROUND(I79*F81,2)</f>
        <v>217.76</v>
      </c>
      <c r="K81" s="36"/>
      <c r="L81" s="36"/>
    </row>
    <row r="82" spans="1:12" s="32" customFormat="1" ht="3" customHeight="1" x14ac:dyDescent="0.2">
      <c r="A82" s="69"/>
      <c r="B82" s="70"/>
      <c r="C82" s="71"/>
      <c r="D82" s="71"/>
      <c r="E82" s="77"/>
      <c r="F82" s="240"/>
      <c r="G82" s="249"/>
      <c r="H82" s="95"/>
      <c r="I82" s="121"/>
      <c r="K82" s="36"/>
      <c r="L82" s="36"/>
    </row>
    <row r="83" spans="1:12" s="32" customFormat="1" ht="3" customHeight="1" x14ac:dyDescent="0.2">
      <c r="B83" s="33"/>
      <c r="C83" s="34"/>
      <c r="D83" s="34"/>
      <c r="E83" s="79"/>
      <c r="F83" s="241"/>
      <c r="G83" s="335"/>
      <c r="H83" s="96"/>
      <c r="I83" s="119"/>
      <c r="K83" s="36"/>
      <c r="L83" s="36"/>
    </row>
    <row r="84" spans="1:12" s="32" customFormat="1" ht="12.75" x14ac:dyDescent="0.2">
      <c r="A84" s="455" t="s">
        <v>212</v>
      </c>
      <c r="B84" s="456"/>
      <c r="C84" s="457"/>
      <c r="D84" s="457"/>
      <c r="E84" s="363"/>
      <c r="F84" s="362"/>
      <c r="G84" s="362"/>
      <c r="H84" s="360"/>
      <c r="I84" s="459">
        <f>I79+I81</f>
        <v>5661.6673684210537</v>
      </c>
      <c r="K84" s="36"/>
      <c r="L84" s="36"/>
    </row>
    <row r="85" spans="1:12" s="32" customFormat="1" ht="4.5" customHeight="1" x14ac:dyDescent="0.2">
      <c r="A85" s="73"/>
      <c r="B85" s="74"/>
      <c r="C85" s="75"/>
      <c r="D85" s="75"/>
      <c r="E85" s="35"/>
      <c r="F85" s="238"/>
      <c r="G85" s="336"/>
      <c r="H85" s="94"/>
      <c r="I85" s="122"/>
      <c r="K85" s="36"/>
      <c r="L85" s="36"/>
    </row>
    <row r="86" spans="1:12" s="32" customFormat="1" ht="12.75" x14ac:dyDescent="0.2">
      <c r="A86" s="159" t="s">
        <v>150</v>
      </c>
      <c r="B86" s="74"/>
      <c r="C86" s="75"/>
      <c r="D86" s="75"/>
      <c r="E86" s="35"/>
      <c r="F86" s="469">
        <v>0</v>
      </c>
      <c r="G86" s="94"/>
      <c r="H86" s="37"/>
      <c r="I86" s="169">
        <f>I84*F86</f>
        <v>0</v>
      </c>
      <c r="K86" s="36"/>
      <c r="L86" s="36"/>
    </row>
    <row r="87" spans="1:12" s="32" customFormat="1" ht="3" customHeight="1" x14ac:dyDescent="0.2">
      <c r="A87" s="69"/>
      <c r="B87" s="70"/>
      <c r="C87" s="71"/>
      <c r="D87" s="71"/>
      <c r="E87" s="77"/>
      <c r="F87" s="240"/>
      <c r="G87" s="249"/>
      <c r="H87" s="95"/>
      <c r="I87" s="121"/>
      <c r="K87" s="36"/>
      <c r="L87" s="36"/>
    </row>
    <row r="88" spans="1:12" s="32" customFormat="1" ht="3" customHeight="1" x14ac:dyDescent="0.2">
      <c r="B88" s="33"/>
      <c r="C88" s="34"/>
      <c r="D88" s="34"/>
      <c r="E88" s="79"/>
      <c r="F88" s="241"/>
      <c r="G88" s="335"/>
      <c r="H88" s="96"/>
      <c r="I88" s="119"/>
      <c r="K88" s="36"/>
      <c r="L88" s="36"/>
    </row>
    <row r="89" spans="1:12" s="32" customFormat="1" ht="12.75" x14ac:dyDescent="0.2">
      <c r="A89" s="455" t="s">
        <v>211</v>
      </c>
      <c r="B89" s="456"/>
      <c r="C89" s="457"/>
      <c r="D89" s="457"/>
      <c r="E89" s="363"/>
      <c r="F89" s="362"/>
      <c r="G89" s="362"/>
      <c r="H89" s="360"/>
      <c r="I89" s="459">
        <f>I84+I86</f>
        <v>5661.6673684210537</v>
      </c>
      <c r="K89" s="36"/>
      <c r="L89" s="36"/>
    </row>
    <row r="90" spans="1:12" s="32" customFormat="1" ht="4.5" customHeight="1" x14ac:dyDescent="0.2">
      <c r="A90" s="73"/>
      <c r="B90" s="74"/>
      <c r="C90" s="75"/>
      <c r="D90" s="75"/>
      <c r="E90" s="35"/>
      <c r="F90" s="238"/>
      <c r="G90" s="336"/>
      <c r="H90" s="94"/>
      <c r="I90" s="122"/>
      <c r="K90" s="36"/>
      <c r="L90" s="36"/>
    </row>
    <row r="91" spans="1:12" s="32" customFormat="1" ht="12.75" x14ac:dyDescent="0.2">
      <c r="A91" s="32" t="s">
        <v>14</v>
      </c>
      <c r="B91" s="33"/>
      <c r="D91" s="34"/>
      <c r="E91" s="72"/>
      <c r="F91" s="38">
        <v>0.2</v>
      </c>
      <c r="G91" s="38"/>
      <c r="H91" s="38"/>
      <c r="I91" s="123">
        <f>ROUND(I84*F91,2)</f>
        <v>1132.33</v>
      </c>
      <c r="K91" s="36"/>
      <c r="L91" s="36"/>
    </row>
    <row r="92" spans="1:12" s="32" customFormat="1" ht="3" customHeight="1" x14ac:dyDescent="0.2">
      <c r="A92" s="37"/>
      <c r="B92" s="231"/>
      <c r="C92" s="78"/>
      <c r="D92" s="78"/>
      <c r="E92" s="72"/>
      <c r="F92" s="67"/>
      <c r="G92" s="93"/>
      <c r="H92" s="93"/>
      <c r="I92" s="124"/>
      <c r="J92" s="37"/>
      <c r="K92" s="36"/>
      <c r="L92" s="36"/>
    </row>
    <row r="93" spans="1:12" s="37" customFormat="1" ht="12.75" x14ac:dyDescent="0.2">
      <c r="A93" s="463" t="s">
        <v>210</v>
      </c>
      <c r="B93" s="468"/>
      <c r="C93" s="464"/>
      <c r="D93" s="464"/>
      <c r="E93" s="465"/>
      <c r="F93" s="466"/>
      <c r="G93" s="466"/>
      <c r="H93" s="466"/>
      <c r="I93" s="467">
        <f>SUM(I89:I91)</f>
        <v>6793.9973684210536</v>
      </c>
      <c r="J93" s="10"/>
      <c r="K93" s="59"/>
      <c r="L93" s="36"/>
    </row>
    <row r="94" spans="1:12" ht="5.0999999999999996" customHeight="1" x14ac:dyDescent="0.2">
      <c r="F94" s="8"/>
      <c r="G94" s="42"/>
    </row>
    <row r="95" spans="1:12" ht="12.75" customHeight="1" x14ac:dyDescent="0.2">
      <c r="F95" s="139"/>
    </row>
  </sheetData>
  <mergeCells count="12">
    <mergeCell ref="H2:I2"/>
    <mergeCell ref="A7:B7"/>
    <mergeCell ref="A9:B9"/>
    <mergeCell ref="A11:B11"/>
    <mergeCell ref="A19:B19"/>
    <mergeCell ref="A27:B27"/>
    <mergeCell ref="A13:B13"/>
    <mergeCell ref="G76:H76"/>
    <mergeCell ref="A17:B17"/>
    <mergeCell ref="A23:B23"/>
    <mergeCell ref="A21:B21"/>
    <mergeCell ref="A15:B15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&amp;L&amp;"Arial,Standard"&amp;9&amp;K01+011Seite &amp;P von &amp;N                              Juni 2018&amp;R&amp;"Arial,Fett"&amp;9&amp;K01+011Leitfaden Vergabe technische Beratung &amp; Planung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</sheetPr>
  <dimension ref="A1:M34"/>
  <sheetViews>
    <sheetView showGridLines="0" tabSelected="1" view="pageLayout" zoomScale="70" zoomScaleNormal="100" zoomScaleSheetLayoutView="100" zoomScalePageLayoutView="7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6384" width="11.5703125" style="1"/>
  </cols>
  <sheetData>
    <row r="1" spans="1:13" ht="5.0999999999999996" customHeight="1" x14ac:dyDescent="0.25">
      <c r="F1" s="8"/>
      <c r="G1" s="42"/>
      <c r="H1" s="9"/>
      <c r="I1" s="10"/>
      <c r="J1" s="59"/>
      <c r="K1" s="554"/>
      <c r="L1" s="554"/>
      <c r="M1" s="554"/>
    </row>
    <row r="2" spans="1:13" s="54" customFormat="1" ht="35.1" customHeight="1" x14ac:dyDescent="0.25">
      <c r="A2" s="137"/>
      <c r="C2" s="13"/>
      <c r="D2" s="103"/>
      <c r="F2" s="55"/>
      <c r="G2" s="55"/>
      <c r="H2" s="841" t="s">
        <v>271</v>
      </c>
      <c r="I2" s="820"/>
      <c r="J2" s="62"/>
      <c r="K2" s="56"/>
      <c r="L2" s="56"/>
      <c r="M2" s="56"/>
    </row>
    <row r="3" spans="1:13" s="143" customFormat="1" ht="12.95" customHeight="1" x14ac:dyDescent="0.25">
      <c r="A3" s="637" t="s">
        <v>172</v>
      </c>
      <c r="B3" s="637"/>
      <c r="C3" s="637"/>
      <c r="D3" s="637"/>
      <c r="E3" s="637"/>
      <c r="F3" s="637"/>
      <c r="G3" s="637"/>
      <c r="H3" s="637"/>
      <c r="I3" s="637"/>
      <c r="J3" s="147"/>
      <c r="K3" s="3"/>
    </row>
    <row r="4" spans="1:13" s="11" customFormat="1" ht="6" customHeight="1" x14ac:dyDescent="0.25">
      <c r="I4" s="2"/>
      <c r="J4" s="2"/>
    </row>
    <row r="5" spans="1:13" s="11" customFormat="1" ht="12.95" customHeight="1" x14ac:dyDescent="0.25">
      <c r="A5" s="645" t="s">
        <v>270</v>
      </c>
      <c r="E5" s="100"/>
      <c r="F5" s="45"/>
      <c r="G5" s="45"/>
      <c r="H5" s="16"/>
      <c r="I5" s="117"/>
      <c r="J5" s="45"/>
    </row>
    <row r="6" spans="1:13" s="11" customFormat="1" ht="6" customHeight="1" x14ac:dyDescent="0.25">
      <c r="F6" s="98"/>
      <c r="I6" s="2"/>
      <c r="J6" s="2"/>
    </row>
    <row r="7" spans="1:13" s="12" customFormat="1" ht="12.95" customHeight="1" x14ac:dyDescent="0.2">
      <c r="A7" s="843"/>
      <c r="B7" s="843"/>
      <c r="C7" s="648" t="s">
        <v>272</v>
      </c>
      <c r="D7" s="648"/>
      <c r="E7" s="638"/>
      <c r="F7" s="649"/>
      <c r="G7" s="650"/>
      <c r="H7" s="650"/>
      <c r="I7" s="721">
        <f>F7*H7</f>
        <v>0</v>
      </c>
      <c r="J7" s="50"/>
    </row>
    <row r="8" spans="1:13" s="12" customFormat="1" ht="12.75" customHeight="1" x14ac:dyDescent="0.2">
      <c r="A8" s="843"/>
      <c r="B8" s="843"/>
      <c r="C8" s="660" t="s">
        <v>273</v>
      </c>
      <c r="D8" s="660"/>
      <c r="E8" s="652"/>
      <c r="F8" s="653"/>
      <c r="G8" s="654"/>
      <c r="H8" s="654"/>
      <c r="I8" s="721">
        <f>F8*H8</f>
        <v>0</v>
      </c>
      <c r="J8" s="50"/>
    </row>
    <row r="9" spans="1:13" s="12" customFormat="1" ht="12.75" customHeight="1" x14ac:dyDescent="0.2">
      <c r="A9" s="325"/>
      <c r="B9" s="325"/>
      <c r="C9" s="660" t="s">
        <v>279</v>
      </c>
      <c r="D9" s="660"/>
      <c r="E9" s="652"/>
      <c r="F9" s="653"/>
      <c r="G9" s="654"/>
      <c r="H9" s="654"/>
      <c r="I9" s="721">
        <v>0</v>
      </c>
      <c r="J9" s="50"/>
    </row>
    <row r="10" spans="1:13" s="12" customFormat="1" ht="13.5" customHeight="1" x14ac:dyDescent="0.2">
      <c r="A10" s="325"/>
      <c r="B10" s="325"/>
      <c r="C10" s="660" t="s">
        <v>322</v>
      </c>
      <c r="D10" s="660"/>
      <c r="E10" s="652"/>
      <c r="F10" s="653"/>
      <c r="G10" s="654"/>
      <c r="H10" s="654"/>
      <c r="I10" s="721">
        <v>0</v>
      </c>
      <c r="J10" s="50"/>
    </row>
    <row r="11" spans="1:13" s="12" customFormat="1" ht="13.5" customHeight="1" x14ac:dyDescent="0.2">
      <c r="A11" s="325"/>
      <c r="B11" s="325"/>
      <c r="C11" s="655" t="s">
        <v>324</v>
      </c>
      <c r="D11" s="655"/>
      <c r="E11" s="656"/>
      <c r="F11" s="657"/>
      <c r="G11" s="658"/>
      <c r="H11" s="658"/>
      <c r="I11" s="721">
        <v>0</v>
      </c>
      <c r="J11" s="50"/>
    </row>
    <row r="12" spans="1:13" s="11" customFormat="1" ht="12.75" customHeight="1" x14ac:dyDescent="0.2">
      <c r="A12" s="325"/>
      <c r="B12" s="325"/>
      <c r="C12" s="661" t="s">
        <v>278</v>
      </c>
      <c r="D12" s="661"/>
      <c r="E12" s="662"/>
      <c r="F12" s="663"/>
      <c r="G12" s="664"/>
      <c r="H12" s="664"/>
      <c r="I12" s="721">
        <f>F12*H12</f>
        <v>0</v>
      </c>
      <c r="J12" s="50"/>
    </row>
    <row r="13" spans="1:13" s="12" customFormat="1" ht="12.75" customHeight="1" x14ac:dyDescent="0.2">
      <c r="A13" s="325"/>
      <c r="B13" s="325"/>
      <c r="C13" s="660" t="s">
        <v>281</v>
      </c>
      <c r="D13" s="660"/>
      <c r="E13" s="652"/>
      <c r="F13" s="653"/>
      <c r="G13" s="654"/>
      <c r="H13" s="654"/>
      <c r="I13" s="721">
        <v>0</v>
      </c>
      <c r="J13" s="50"/>
    </row>
    <row r="14" spans="1:13" s="12" customFormat="1" ht="12.75" customHeight="1" x14ac:dyDescent="0.2">
      <c r="A14" s="325"/>
      <c r="B14" s="325"/>
      <c r="C14" s="660" t="s">
        <v>280</v>
      </c>
      <c r="D14" s="660"/>
      <c r="E14" s="652"/>
      <c r="F14" s="653"/>
      <c r="G14" s="654"/>
      <c r="H14" s="654"/>
      <c r="I14" s="721">
        <v>0</v>
      </c>
      <c r="J14" s="50"/>
    </row>
    <row r="15" spans="1:13" s="12" customFormat="1" ht="12.75" customHeight="1" x14ac:dyDescent="0.2">
      <c r="A15" s="325"/>
      <c r="B15" s="325"/>
      <c r="C15" s="660" t="s">
        <v>274</v>
      </c>
      <c r="D15" s="651"/>
      <c r="E15" s="652"/>
      <c r="F15" s="653"/>
      <c r="G15" s="654"/>
      <c r="H15" s="654"/>
      <c r="I15" s="721">
        <v>0</v>
      </c>
      <c r="J15" s="50"/>
    </row>
    <row r="16" spans="1:13" s="11" customFormat="1" ht="12.95" customHeight="1" x14ac:dyDescent="0.2">
      <c r="A16" s="843"/>
      <c r="B16" s="843"/>
      <c r="C16" s="660" t="s">
        <v>323</v>
      </c>
      <c r="D16" s="651"/>
      <c r="E16" s="652"/>
      <c r="F16" s="653"/>
      <c r="G16" s="654"/>
      <c r="H16" s="654"/>
      <c r="I16" s="721">
        <f>F16*H16</f>
        <v>0</v>
      </c>
      <c r="J16" s="50"/>
    </row>
    <row r="17" spans="1:13" s="11" customFormat="1" ht="12.75" customHeight="1" x14ac:dyDescent="0.2">
      <c r="A17" s="843"/>
      <c r="B17" s="843"/>
      <c r="C17" s="660" t="s">
        <v>275</v>
      </c>
      <c r="D17" s="655"/>
      <c r="E17" s="656"/>
      <c r="F17" s="657"/>
      <c r="G17" s="658"/>
      <c r="H17" s="658"/>
      <c r="I17" s="721">
        <f>F17*H17</f>
        <v>0</v>
      </c>
      <c r="J17" s="50"/>
    </row>
    <row r="18" spans="1:13" s="11" customFormat="1" ht="12.75" customHeight="1" x14ac:dyDescent="0.2">
      <c r="A18" s="325"/>
      <c r="B18" s="325"/>
      <c r="C18" s="655" t="s">
        <v>276</v>
      </c>
      <c r="D18" s="655"/>
      <c r="E18" s="656"/>
      <c r="F18" s="657"/>
      <c r="G18" s="658"/>
      <c r="H18" s="658"/>
      <c r="I18" s="721">
        <f>F18*H18</f>
        <v>0</v>
      </c>
      <c r="J18" s="50"/>
    </row>
    <row r="19" spans="1:13" s="11" customFormat="1" ht="12.75" customHeight="1" x14ac:dyDescent="0.2">
      <c r="A19" s="325"/>
      <c r="B19" s="325"/>
      <c r="C19" s="661" t="s">
        <v>277</v>
      </c>
      <c r="D19" s="661"/>
      <c r="E19" s="662"/>
      <c r="F19" s="663"/>
      <c r="G19" s="664"/>
      <c r="H19" s="664"/>
      <c r="I19" s="721">
        <f>F19*H19</f>
        <v>0</v>
      </c>
      <c r="J19" s="50"/>
    </row>
    <row r="20" spans="1:13" s="11" customFormat="1" ht="12.75" customHeight="1" x14ac:dyDescent="0.2">
      <c r="A20" s="325"/>
      <c r="B20" s="325"/>
      <c r="C20" s="647"/>
      <c r="D20" s="645"/>
      <c r="E20" s="164"/>
      <c r="F20" s="643"/>
      <c r="G20" s="644"/>
      <c r="H20" s="644"/>
      <c r="I20" s="323"/>
      <c r="J20" s="50"/>
    </row>
    <row r="21" spans="1:13" s="11" customFormat="1" ht="12.75" customHeight="1" x14ac:dyDescent="0.2">
      <c r="B21" s="7"/>
      <c r="C21" s="48" t="s">
        <v>113</v>
      </c>
      <c r="D21" s="8"/>
      <c r="E21" s="42"/>
      <c r="F21" s="702">
        <v>0</v>
      </c>
      <c r="G21" s="817"/>
      <c r="H21" s="782">
        <v>0</v>
      </c>
      <c r="I21" s="594">
        <f>F21*H21</f>
        <v>0</v>
      </c>
    </row>
    <row r="22" spans="1:13" s="12" customFormat="1" ht="12.95" customHeight="1" x14ac:dyDescent="0.2">
      <c r="A22" s="843"/>
      <c r="B22" s="843"/>
      <c r="C22" s="640"/>
      <c r="D22" s="641"/>
      <c r="E22" s="164"/>
      <c r="F22" s="158"/>
      <c r="G22" s="2"/>
      <c r="H22" s="642"/>
      <c r="I22" s="158"/>
      <c r="J22" s="50"/>
    </row>
    <row r="23" spans="1:13" ht="4.5" customHeight="1" x14ac:dyDescent="0.25">
      <c r="G23" s="247"/>
      <c r="J23" s="514"/>
    </row>
    <row r="24" spans="1:13" s="32" customFormat="1" ht="12.75" x14ac:dyDescent="0.2">
      <c r="A24" s="557" t="s">
        <v>282</v>
      </c>
      <c r="B24" s="558"/>
      <c r="C24" s="559"/>
      <c r="D24" s="559"/>
      <c r="E24" s="129"/>
      <c r="F24" s="560"/>
      <c r="G24" s="560"/>
      <c r="H24" s="560"/>
      <c r="I24" s="167">
        <f>SUM(I7:J21)</f>
        <v>0</v>
      </c>
      <c r="J24" s="36"/>
      <c r="K24" s="81"/>
      <c r="L24" s="82"/>
      <c r="M24" s="83"/>
    </row>
    <row r="25" spans="1:13" s="32" customFormat="1" ht="4.5" customHeight="1" x14ac:dyDescent="0.2">
      <c r="B25" s="33"/>
      <c r="C25" s="34"/>
      <c r="D25" s="34"/>
      <c r="E25" s="66"/>
      <c r="F25" s="67"/>
      <c r="G25" s="93"/>
      <c r="I25" s="168"/>
      <c r="J25" s="36"/>
      <c r="K25" s="36"/>
      <c r="L25" s="84"/>
      <c r="M25" s="85"/>
    </row>
    <row r="26" spans="1:13" s="32" customFormat="1" ht="12.75" x14ac:dyDescent="0.2">
      <c r="A26" s="68" t="s">
        <v>13</v>
      </c>
      <c r="B26" s="33"/>
      <c r="C26" s="34"/>
      <c r="D26" s="34"/>
      <c r="E26" s="76"/>
      <c r="F26" s="784">
        <v>0.04</v>
      </c>
      <c r="G26" s="94"/>
      <c r="H26" s="37"/>
      <c r="I26" s="169">
        <f>ROUND(I24*F26,2)</f>
        <v>0</v>
      </c>
      <c r="J26" s="36"/>
      <c r="K26" s="86"/>
      <c r="L26" s="84"/>
      <c r="M26" s="85"/>
    </row>
    <row r="27" spans="1:13" s="32" customFormat="1" ht="3" customHeight="1" x14ac:dyDescent="0.2">
      <c r="A27" s="69"/>
      <c r="B27" s="70"/>
      <c r="C27" s="71"/>
      <c r="D27" s="71"/>
      <c r="E27" s="77"/>
      <c r="F27" s="240"/>
      <c r="G27" s="95"/>
      <c r="H27" s="69"/>
      <c r="I27" s="170"/>
      <c r="J27" s="36"/>
      <c r="K27" s="36"/>
      <c r="L27" s="84"/>
      <c r="M27" s="85"/>
    </row>
    <row r="28" spans="1:13" s="32" customFormat="1" ht="3" customHeight="1" x14ac:dyDescent="0.2">
      <c r="B28" s="33"/>
      <c r="C28" s="34"/>
      <c r="D28" s="34"/>
      <c r="E28" s="79"/>
      <c r="F28" s="241"/>
      <c r="G28" s="96"/>
      <c r="H28" s="80"/>
      <c r="I28" s="168"/>
      <c r="J28" s="36"/>
      <c r="K28" s="36"/>
      <c r="L28" s="84"/>
      <c r="M28" s="85"/>
    </row>
    <row r="29" spans="1:13" s="32" customFormat="1" ht="12.75" x14ac:dyDescent="0.2">
      <c r="A29" s="557" t="s">
        <v>283</v>
      </c>
      <c r="B29" s="558"/>
      <c r="C29" s="559"/>
      <c r="D29" s="559"/>
      <c r="E29" s="129"/>
      <c r="F29" s="560"/>
      <c r="G29" s="560"/>
      <c r="H29" s="560"/>
      <c r="I29" s="167">
        <f>SUM(I24:I28)</f>
        <v>0</v>
      </c>
      <c r="J29" s="36"/>
      <c r="K29" s="81"/>
      <c r="L29" s="82"/>
      <c r="M29" s="83"/>
    </row>
    <row r="30" spans="1:13" s="159" customFormat="1" ht="4.5" customHeight="1" x14ac:dyDescent="0.2">
      <c r="A30" s="73"/>
      <c r="B30" s="74"/>
      <c r="C30" s="75"/>
      <c r="D30" s="75"/>
      <c r="E30" s="615"/>
      <c r="I30" s="171"/>
      <c r="J30" s="36"/>
      <c r="K30" s="81"/>
      <c r="L30" s="82"/>
      <c r="M30" s="83"/>
    </row>
    <row r="31" spans="1:13" s="32" customFormat="1" ht="12.75" x14ac:dyDescent="0.2">
      <c r="A31" s="32" t="s">
        <v>14</v>
      </c>
      <c r="B31" s="33"/>
      <c r="D31" s="34"/>
      <c r="E31" s="72"/>
      <c r="F31" s="38">
        <v>0.2</v>
      </c>
      <c r="G31" s="38"/>
      <c r="I31" s="172">
        <f>ROUND(I29*F31,2)</f>
        <v>0</v>
      </c>
      <c r="J31" s="36"/>
      <c r="K31" s="36"/>
      <c r="L31" s="84"/>
      <c r="M31" s="90"/>
    </row>
    <row r="32" spans="1:13" s="32" customFormat="1" ht="3" customHeight="1" x14ac:dyDescent="0.2">
      <c r="A32" s="37"/>
      <c r="B32" s="231"/>
      <c r="C32" s="78"/>
      <c r="D32" s="78"/>
      <c r="E32" s="72"/>
      <c r="F32" s="67"/>
      <c r="G32" s="93"/>
      <c r="I32" s="173"/>
      <c r="J32" s="36"/>
      <c r="K32" s="36"/>
      <c r="L32" s="84"/>
      <c r="M32" s="85"/>
    </row>
    <row r="33" spans="1:13" s="37" customFormat="1" ht="12.75" x14ac:dyDescent="0.2">
      <c r="A33" s="564" t="s">
        <v>284</v>
      </c>
      <c r="B33" s="569"/>
      <c r="C33" s="565"/>
      <c r="D33" s="565"/>
      <c r="E33" s="226"/>
      <c r="F33" s="567"/>
      <c r="G33" s="567"/>
      <c r="H33" s="566"/>
      <c r="I33" s="233">
        <f>SUM(I29:I31)</f>
        <v>0</v>
      </c>
      <c r="J33" s="36"/>
      <c r="K33" s="87"/>
      <c r="L33" s="88"/>
      <c r="M33" s="89"/>
    </row>
    <row r="34" spans="1:13" s="32" customFormat="1" ht="3" customHeight="1" x14ac:dyDescent="0.2">
      <c r="A34" s="37"/>
      <c r="B34" s="231"/>
      <c r="C34" s="78"/>
      <c r="D34" s="78"/>
      <c r="E34" s="72"/>
      <c r="F34" s="67"/>
      <c r="G34" s="93"/>
      <c r="I34" s="173"/>
      <c r="J34" s="36"/>
      <c r="K34" s="36"/>
      <c r="L34" s="84"/>
      <c r="M34" s="85"/>
    </row>
  </sheetData>
  <mergeCells count="6">
    <mergeCell ref="A22:B22"/>
    <mergeCell ref="H2:I2"/>
    <mergeCell ref="A7:B7"/>
    <mergeCell ref="A8:B8"/>
    <mergeCell ref="A16:B16"/>
    <mergeCell ref="A17:B17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&amp;L&amp;"Arial,Fett"&amp;9&amp;K01+016Leitfaden Vergabe technische Beratung &amp; Planung &amp;R&amp;"Arial,Standard"&amp;9&amp;K01+016 Juni 2018                              Seite &amp;P von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4">
    <tabColor theme="6" tint="0.79998168889431442"/>
  </sheetPr>
  <dimension ref="A1:Q112"/>
  <sheetViews>
    <sheetView showGridLines="0" tabSelected="1" view="pageLayout" zoomScale="85" zoomScaleNormal="85" zoomScaleSheetLayoutView="115" zoomScalePageLayoutView="85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43.42578125" style="8" customWidth="1"/>
    <col min="5" max="5" width="8.42578125" style="42" customWidth="1"/>
    <col min="6" max="6" width="4" style="42" customWidth="1"/>
    <col min="7" max="7" width="8" style="42" customWidth="1"/>
    <col min="8" max="8" width="4" style="8" customWidth="1"/>
    <col min="9" max="9" width="8" style="42" customWidth="1"/>
    <col min="10" max="10" width="4" style="42" customWidth="1"/>
    <col min="11" max="11" width="8" style="9" customWidth="1" collapsed="1"/>
    <col min="12" max="12" width="4" style="9" customWidth="1"/>
    <col min="13" max="13" width="8" style="10" customWidth="1"/>
    <col min="14" max="14" width="15.42578125" style="767" customWidth="1"/>
    <col min="15" max="15" width="5.7109375" style="1" customWidth="1"/>
    <col min="16" max="16384" width="11.5703125" style="1"/>
  </cols>
  <sheetData>
    <row r="1" spans="1:14" ht="5.0999999999999996" customHeight="1" x14ac:dyDescent="0.2"/>
    <row r="2" spans="1:14" s="54" customFormat="1" ht="35.1" customHeight="1" x14ac:dyDescent="0.2">
      <c r="C2" s="13"/>
      <c r="D2" s="103"/>
      <c r="H2" s="55"/>
      <c r="I2" s="820" t="s">
        <v>348</v>
      </c>
      <c r="J2" s="820"/>
      <c r="K2" s="820"/>
      <c r="L2" s="820"/>
      <c r="M2" s="820"/>
      <c r="N2" s="768"/>
    </row>
    <row r="3" spans="1:14" s="11" customFormat="1" ht="12.95" customHeight="1" x14ac:dyDescent="0.2">
      <c r="A3" s="445" t="s">
        <v>389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501"/>
      <c r="N3" s="769" t="s">
        <v>426</v>
      </c>
    </row>
    <row r="4" spans="1:14" s="11" customFormat="1" ht="12.95" customHeight="1" x14ac:dyDescent="0.2">
      <c r="A4" s="742"/>
      <c r="F4" s="844" t="s">
        <v>383</v>
      </c>
      <c r="G4" s="844"/>
      <c r="H4" s="845" t="s">
        <v>384</v>
      </c>
      <c r="I4" s="845"/>
      <c r="J4" s="844" t="s">
        <v>385</v>
      </c>
      <c r="K4" s="844"/>
      <c r="L4" s="844" t="s">
        <v>386</v>
      </c>
      <c r="M4" s="844"/>
      <c r="N4" s="769"/>
    </row>
    <row r="5" spans="1:14" s="11" customFormat="1" ht="12.95" customHeight="1" x14ac:dyDescent="0.2">
      <c r="A5" s="743"/>
      <c r="B5" s="743"/>
      <c r="C5" s="743"/>
      <c r="D5" s="743"/>
      <c r="E5" s="254" t="s">
        <v>390</v>
      </c>
      <c r="F5" s="846" t="s">
        <v>421</v>
      </c>
      <c r="G5" s="847"/>
      <c r="H5" s="848" t="s">
        <v>419</v>
      </c>
      <c r="I5" s="848"/>
      <c r="J5" s="846" t="s">
        <v>418</v>
      </c>
      <c r="K5" s="847" t="s">
        <v>371</v>
      </c>
      <c r="L5" s="846" t="s">
        <v>420</v>
      </c>
      <c r="M5" s="847" t="s">
        <v>371</v>
      </c>
      <c r="N5" s="769"/>
    </row>
    <row r="6" spans="1:14" s="11" customFormat="1" ht="14.25" customHeight="1" x14ac:dyDescent="0.2">
      <c r="A6" s="743"/>
      <c r="B6" s="743"/>
      <c r="C6" s="743"/>
      <c r="D6" s="743"/>
      <c r="E6" s="646" t="s">
        <v>409</v>
      </c>
      <c r="F6" s="849">
        <v>900</v>
      </c>
      <c r="G6" s="850"/>
      <c r="H6" s="851">
        <v>800</v>
      </c>
      <c r="I6" s="852"/>
      <c r="J6" s="849">
        <f>200+1500+1100+1700+1700</f>
        <v>6200</v>
      </c>
      <c r="K6" s="850">
        <f>5*1120</f>
        <v>5600</v>
      </c>
      <c r="L6" s="849">
        <v>400</v>
      </c>
      <c r="M6" s="850">
        <f>5*1120</f>
        <v>5600</v>
      </c>
      <c r="N6" s="770"/>
    </row>
    <row r="7" spans="1:14" s="11" customFormat="1" ht="4.5" customHeight="1" x14ac:dyDescent="0.2">
      <c r="A7" s="742"/>
      <c r="F7" s="740"/>
      <c r="G7" s="740"/>
      <c r="H7" s="741"/>
      <c r="I7" s="741"/>
      <c r="J7" s="741"/>
      <c r="K7" s="740"/>
      <c r="L7" s="740"/>
      <c r="M7" s="740"/>
      <c r="N7" s="769"/>
    </row>
    <row r="8" spans="1:14" s="11" customFormat="1" ht="12.95" customHeight="1" x14ac:dyDescent="0.25">
      <c r="A8" s="445" t="s">
        <v>381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501"/>
      <c r="N8" s="769" t="s">
        <v>426</v>
      </c>
    </row>
    <row r="9" spans="1:14" s="11" customFormat="1" ht="12.75" customHeight="1" x14ac:dyDescent="0.25">
      <c r="A9" s="254"/>
      <c r="E9" s="254" t="s">
        <v>379</v>
      </c>
      <c r="F9" s="844" t="s">
        <v>364</v>
      </c>
      <c r="G9" s="844"/>
      <c r="H9" s="845"/>
      <c r="I9" s="845" t="s">
        <v>260</v>
      </c>
      <c r="J9" s="844"/>
      <c r="K9" s="844"/>
      <c r="L9" s="844"/>
      <c r="M9" s="844"/>
      <c r="N9" s="45"/>
    </row>
    <row r="10" spans="1:14" s="254" customFormat="1" ht="12.75" customHeight="1" x14ac:dyDescent="0.25">
      <c r="B10" s="591" t="s">
        <v>356</v>
      </c>
      <c r="C10" s="591"/>
      <c r="D10" s="591"/>
      <c r="E10" s="765">
        <v>0.1</v>
      </c>
      <c r="F10" s="853">
        <v>2</v>
      </c>
      <c r="G10" s="853"/>
      <c r="H10" s="717" t="s">
        <v>357</v>
      </c>
      <c r="I10" s="731">
        <f>IF(F10="","",F10*E10)</f>
        <v>0.2</v>
      </c>
      <c r="J10" s="731"/>
      <c r="K10" s="728"/>
      <c r="L10" s="728"/>
      <c r="N10" s="45"/>
    </row>
    <row r="11" spans="1:14" s="254" customFormat="1" ht="12.75" customHeight="1" x14ac:dyDescent="0.25">
      <c r="B11" s="592" t="s">
        <v>358</v>
      </c>
      <c r="C11" s="592"/>
      <c r="D11" s="592"/>
      <c r="E11" s="766">
        <v>0.1</v>
      </c>
      <c r="F11" s="853"/>
      <c r="G11" s="853"/>
      <c r="H11" s="732" t="s">
        <v>357</v>
      </c>
      <c r="I11" s="731" t="str">
        <f t="shared" ref="I11:I16" si="0">IF(F11="","",F11*E11)</f>
        <v/>
      </c>
      <c r="J11" s="733"/>
      <c r="K11" s="728"/>
      <c r="L11" s="728"/>
      <c r="N11" s="45"/>
    </row>
    <row r="12" spans="1:14" s="254" customFormat="1" ht="12.75" customHeight="1" x14ac:dyDescent="0.25">
      <c r="B12" s="592" t="s">
        <v>360</v>
      </c>
      <c r="C12" s="592"/>
      <c r="D12" s="592"/>
      <c r="E12" s="766">
        <v>0.1</v>
      </c>
      <c r="F12" s="853"/>
      <c r="G12" s="853"/>
      <c r="H12" s="732" t="s">
        <v>357</v>
      </c>
      <c r="I12" s="731" t="str">
        <f t="shared" si="0"/>
        <v/>
      </c>
      <c r="J12" s="733"/>
      <c r="K12" s="728"/>
      <c r="L12" s="728"/>
      <c r="N12" s="45"/>
    </row>
    <row r="13" spans="1:14" s="254" customFormat="1" ht="12.75" customHeight="1" x14ac:dyDescent="0.25">
      <c r="B13" s="592" t="s">
        <v>359</v>
      </c>
      <c r="C13" s="592"/>
      <c r="D13" s="592"/>
      <c r="E13" s="766">
        <v>0.1</v>
      </c>
      <c r="F13" s="853"/>
      <c r="G13" s="853"/>
      <c r="H13" s="732" t="s">
        <v>357</v>
      </c>
      <c r="I13" s="731" t="str">
        <f t="shared" si="0"/>
        <v/>
      </c>
      <c r="J13" s="733"/>
      <c r="K13" s="728"/>
      <c r="L13" s="728"/>
      <c r="N13" s="45"/>
    </row>
    <row r="14" spans="1:14" s="254" customFormat="1" ht="12.75" customHeight="1" x14ac:dyDescent="0.25">
      <c r="B14" s="592" t="s">
        <v>361</v>
      </c>
      <c r="C14" s="592"/>
      <c r="D14" s="592"/>
      <c r="E14" s="766">
        <v>0.1</v>
      </c>
      <c r="F14" s="853"/>
      <c r="G14" s="853"/>
      <c r="H14" s="732" t="s">
        <v>357</v>
      </c>
      <c r="I14" s="731" t="str">
        <f t="shared" si="0"/>
        <v/>
      </c>
      <c r="J14" s="733"/>
      <c r="K14" s="728"/>
      <c r="L14" s="728"/>
      <c r="N14" s="45"/>
    </row>
    <row r="15" spans="1:14" s="254" customFormat="1" ht="12.75" customHeight="1" x14ac:dyDescent="0.25">
      <c r="B15" s="592" t="s">
        <v>363</v>
      </c>
      <c r="C15" s="592"/>
      <c r="D15" s="592"/>
      <c r="E15" s="766">
        <v>0.2</v>
      </c>
      <c r="F15" s="853"/>
      <c r="G15" s="853"/>
      <c r="H15" s="732" t="s">
        <v>357</v>
      </c>
      <c r="I15" s="731" t="str">
        <f t="shared" si="0"/>
        <v/>
      </c>
      <c r="J15" s="733"/>
      <c r="K15" s="728"/>
      <c r="L15" s="728"/>
      <c r="N15" s="45"/>
    </row>
    <row r="16" spans="1:14" s="254" customFormat="1" ht="12.75" customHeight="1" x14ac:dyDescent="0.25">
      <c r="B16" s="592" t="s">
        <v>362</v>
      </c>
      <c r="C16" s="592"/>
      <c r="D16" s="592"/>
      <c r="E16" s="766">
        <v>0.3</v>
      </c>
      <c r="F16" s="853"/>
      <c r="G16" s="853"/>
      <c r="H16" s="732" t="s">
        <v>357</v>
      </c>
      <c r="I16" s="731" t="str">
        <f t="shared" si="0"/>
        <v/>
      </c>
      <c r="J16" s="733"/>
      <c r="K16" s="728"/>
      <c r="L16" s="728"/>
      <c r="N16" s="45"/>
    </row>
    <row r="17" spans="1:14" ht="3" customHeight="1" x14ac:dyDescent="0.2">
      <c r="A17" s="40"/>
      <c r="B17" s="40"/>
      <c r="C17" s="40"/>
      <c r="D17" s="1"/>
      <c r="E17" s="1"/>
      <c r="F17" s="201"/>
      <c r="G17" s="201"/>
      <c r="H17" s="734"/>
      <c r="I17" s="201"/>
      <c r="J17" s="201"/>
      <c r="K17" s="309"/>
      <c r="L17" s="309"/>
      <c r="N17" s="771"/>
    </row>
    <row r="18" spans="1:14" s="254" customFormat="1" ht="12.75" customHeight="1" x14ac:dyDescent="0.25">
      <c r="B18" s="254" t="s">
        <v>365</v>
      </c>
      <c r="E18" s="729"/>
      <c r="F18" s="730"/>
      <c r="G18" s="730"/>
      <c r="H18" s="752" t="s">
        <v>407</v>
      </c>
      <c r="I18" s="735">
        <f>SUM(I10:I16)</f>
        <v>0.2</v>
      </c>
      <c r="J18" s="735"/>
      <c r="K18" s="728"/>
      <c r="L18" s="728"/>
      <c r="N18" s="45"/>
    </row>
    <row r="19" spans="1:14" s="254" customFormat="1" ht="4.5" customHeight="1" x14ac:dyDescent="0.25">
      <c r="E19" s="725"/>
      <c r="F19" s="726"/>
      <c r="G19" s="726"/>
      <c r="I19" s="727"/>
      <c r="J19" s="727"/>
      <c r="K19" s="728"/>
      <c r="L19" s="728"/>
      <c r="N19" s="45"/>
    </row>
    <row r="20" spans="1:14" s="11" customFormat="1" ht="12.95" customHeight="1" x14ac:dyDescent="0.2">
      <c r="A20" s="445" t="s">
        <v>369</v>
      </c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501"/>
      <c r="N20" s="769" t="s">
        <v>427</v>
      </c>
    </row>
    <row r="21" spans="1:14" s="11" customFormat="1" ht="12.75" customHeight="1" x14ac:dyDescent="0.25">
      <c r="A21" s="254"/>
      <c r="F21" s="844" t="s">
        <v>383</v>
      </c>
      <c r="G21" s="844"/>
      <c r="H21" s="845" t="s">
        <v>384</v>
      </c>
      <c r="I21" s="845"/>
      <c r="J21" s="844" t="s">
        <v>385</v>
      </c>
      <c r="K21" s="844"/>
      <c r="L21" s="844" t="s">
        <v>386</v>
      </c>
      <c r="M21" s="844"/>
      <c r="N21" s="45"/>
    </row>
    <row r="22" spans="1:14" s="11" customFormat="1" ht="12.75" customHeight="1" x14ac:dyDescent="0.25">
      <c r="A22" s="254"/>
      <c r="E22" s="254" t="s">
        <v>379</v>
      </c>
      <c r="F22" s="854" t="str">
        <f>IF(F$5="","nicht definiert",F$5)</f>
        <v>Schule UG</v>
      </c>
      <c r="G22" s="855"/>
      <c r="H22" s="856" t="str">
        <f>IF(H$5="","nicht definiert",H$5)</f>
        <v>Technik</v>
      </c>
      <c r="I22" s="856" t="e">
        <f>#REF!</f>
        <v>#REF!</v>
      </c>
      <c r="J22" s="857" t="str">
        <f>IF(J$5="","nicht definiert",J$5)</f>
        <v>Schule</v>
      </c>
      <c r="K22" s="855"/>
      <c r="L22" s="857" t="str">
        <f>IF(L$5="","nicht definiert",L$5)</f>
        <v>Verwaltung</v>
      </c>
      <c r="M22" s="855"/>
      <c r="N22" s="45"/>
    </row>
    <row r="23" spans="1:14" s="11" customFormat="1" ht="3" customHeight="1" x14ac:dyDescent="0.25">
      <c r="A23" s="254"/>
      <c r="E23" s="729"/>
      <c r="F23" s="737"/>
      <c r="G23" s="737"/>
      <c r="H23" s="738"/>
      <c r="I23" s="738"/>
      <c r="J23" s="745"/>
      <c r="K23" s="737"/>
      <c r="L23" s="737"/>
      <c r="M23" s="737"/>
      <c r="N23" s="45"/>
    </row>
    <row r="24" spans="1:14" s="254" customFormat="1" ht="12.95" customHeight="1" x14ac:dyDescent="0.25">
      <c r="B24" s="254" t="s">
        <v>388</v>
      </c>
      <c r="E24" s="765">
        <v>0.6</v>
      </c>
      <c r="F24" s="736"/>
      <c r="G24" s="744" t="str">
        <f>IF(F24="x",E24,"")</f>
        <v/>
      </c>
      <c r="H24" s="736"/>
      <c r="I24" s="744" t="str">
        <f>IF(H24="x",$E24,"")</f>
        <v/>
      </c>
      <c r="J24" s="736"/>
      <c r="K24" s="744" t="str">
        <f>IF(J24="x",$E24,"")</f>
        <v/>
      </c>
      <c r="L24" s="736"/>
      <c r="M24" s="744" t="str">
        <f>IF(L24="x",$E24,"")</f>
        <v/>
      </c>
      <c r="N24" s="45"/>
    </row>
    <row r="25" spans="1:14" s="254" customFormat="1" ht="12.95" customHeight="1" x14ac:dyDescent="0.25">
      <c r="B25" s="254" t="s">
        <v>355</v>
      </c>
      <c r="E25" s="766">
        <v>0.8</v>
      </c>
      <c r="F25" s="736"/>
      <c r="G25" s="744" t="str">
        <f t="shared" ref="G25:G36" si="1">IF(F25="x",E25,"")</f>
        <v/>
      </c>
      <c r="H25" s="736"/>
      <c r="I25" s="744" t="str">
        <f t="shared" ref="I25:K36" si="2">IF(H25="x",$E25,"")</f>
        <v/>
      </c>
      <c r="J25" s="736"/>
      <c r="K25" s="744" t="str">
        <f t="shared" si="2"/>
        <v/>
      </c>
      <c r="L25" s="736"/>
      <c r="M25" s="744" t="str">
        <f t="shared" ref="M25:M36" si="3">IF(L25="x",$E25,"")</f>
        <v/>
      </c>
      <c r="N25" s="45"/>
    </row>
    <row r="26" spans="1:14" s="254" customFormat="1" ht="12.95" customHeight="1" x14ac:dyDescent="0.25">
      <c r="B26" s="254" t="s">
        <v>370</v>
      </c>
      <c r="E26" s="766">
        <v>1</v>
      </c>
      <c r="F26" s="736"/>
      <c r="G26" s="744" t="str">
        <f t="shared" si="1"/>
        <v/>
      </c>
      <c r="H26" s="736" t="s">
        <v>357</v>
      </c>
      <c r="I26" s="744">
        <f t="shared" si="2"/>
        <v>1</v>
      </c>
      <c r="J26" s="736"/>
      <c r="K26" s="744" t="str">
        <f t="shared" si="2"/>
        <v/>
      </c>
      <c r="L26" s="736"/>
      <c r="M26" s="744" t="str">
        <f t="shared" si="3"/>
        <v/>
      </c>
      <c r="N26" s="45"/>
    </row>
    <row r="27" spans="1:14" s="254" customFormat="1" ht="12.95" customHeight="1" x14ac:dyDescent="0.25">
      <c r="B27" s="254" t="s">
        <v>372</v>
      </c>
      <c r="E27" s="766">
        <v>1</v>
      </c>
      <c r="F27" s="736"/>
      <c r="G27" s="744" t="str">
        <f t="shared" si="1"/>
        <v/>
      </c>
      <c r="H27" s="736"/>
      <c r="I27" s="744" t="str">
        <f t="shared" si="2"/>
        <v/>
      </c>
      <c r="J27" s="736"/>
      <c r="K27" s="744" t="str">
        <f t="shared" si="2"/>
        <v/>
      </c>
      <c r="L27" s="736" t="s">
        <v>357</v>
      </c>
      <c r="M27" s="744">
        <f t="shared" si="3"/>
        <v>1</v>
      </c>
      <c r="N27" s="45"/>
    </row>
    <row r="28" spans="1:14" s="254" customFormat="1" ht="12.95" customHeight="1" x14ac:dyDescent="0.25">
      <c r="B28" s="254" t="s">
        <v>373</v>
      </c>
      <c r="E28" s="766">
        <v>1</v>
      </c>
      <c r="F28" s="736"/>
      <c r="G28" s="744" t="str">
        <f t="shared" si="1"/>
        <v/>
      </c>
      <c r="H28" s="736"/>
      <c r="I28" s="744" t="str">
        <f t="shared" si="2"/>
        <v/>
      </c>
      <c r="J28" s="736"/>
      <c r="K28" s="744" t="str">
        <f t="shared" si="2"/>
        <v/>
      </c>
      <c r="L28" s="736"/>
      <c r="M28" s="744" t="str">
        <f t="shared" si="3"/>
        <v/>
      </c>
      <c r="N28" s="45"/>
    </row>
    <row r="29" spans="1:14" s="254" customFormat="1" ht="12.95" customHeight="1" x14ac:dyDescent="0.25">
      <c r="B29" s="254" t="s">
        <v>374</v>
      </c>
      <c r="E29" s="766">
        <v>1.2</v>
      </c>
      <c r="F29" s="736"/>
      <c r="G29" s="744" t="str">
        <f t="shared" si="1"/>
        <v/>
      </c>
      <c r="H29" s="736"/>
      <c r="I29" s="744"/>
      <c r="J29" s="736"/>
      <c r="K29" s="744" t="str">
        <f t="shared" si="2"/>
        <v/>
      </c>
      <c r="L29" s="736"/>
      <c r="M29" s="744" t="str">
        <f t="shared" si="3"/>
        <v/>
      </c>
      <c r="N29" s="45"/>
    </row>
    <row r="30" spans="1:14" s="254" customFormat="1" ht="12.95" customHeight="1" x14ac:dyDescent="0.25">
      <c r="B30" s="254" t="s">
        <v>375</v>
      </c>
      <c r="E30" s="766">
        <v>1.4</v>
      </c>
      <c r="F30" s="736"/>
      <c r="G30" s="744" t="str">
        <f t="shared" si="1"/>
        <v/>
      </c>
      <c r="H30" s="736"/>
      <c r="I30" s="744" t="str">
        <f t="shared" si="2"/>
        <v/>
      </c>
      <c r="J30" s="736"/>
      <c r="K30" s="744" t="str">
        <f t="shared" si="2"/>
        <v/>
      </c>
      <c r="L30" s="736"/>
      <c r="M30" s="744" t="str">
        <f t="shared" si="3"/>
        <v/>
      </c>
      <c r="N30" s="45"/>
    </row>
    <row r="31" spans="1:14" s="254" customFormat="1" ht="12.95" customHeight="1" x14ac:dyDescent="0.25">
      <c r="B31" s="254" t="s">
        <v>376</v>
      </c>
      <c r="E31" s="766">
        <v>1.5</v>
      </c>
      <c r="F31" s="736" t="s">
        <v>357</v>
      </c>
      <c r="G31" s="744">
        <f t="shared" si="1"/>
        <v>1.5</v>
      </c>
      <c r="H31" s="736"/>
      <c r="I31" s="744" t="str">
        <f t="shared" si="2"/>
        <v/>
      </c>
      <c r="J31" s="736" t="s">
        <v>357</v>
      </c>
      <c r="K31" s="744">
        <f t="shared" si="2"/>
        <v>1.5</v>
      </c>
      <c r="L31" s="736"/>
      <c r="M31" s="744"/>
      <c r="N31" s="45"/>
    </row>
    <row r="32" spans="1:14" s="254" customFormat="1" ht="12.95" customHeight="1" x14ac:dyDescent="0.25">
      <c r="B32" s="254" t="s">
        <v>387</v>
      </c>
      <c r="E32" s="766">
        <v>1.6</v>
      </c>
      <c r="F32" s="736"/>
      <c r="G32" s="744" t="str">
        <f t="shared" si="1"/>
        <v/>
      </c>
      <c r="H32" s="736"/>
      <c r="I32" s="744" t="str">
        <f t="shared" si="2"/>
        <v/>
      </c>
      <c r="J32" s="736"/>
      <c r="K32" s="744" t="str">
        <f t="shared" si="2"/>
        <v/>
      </c>
      <c r="L32" s="736"/>
      <c r="M32" s="744" t="str">
        <f t="shared" si="3"/>
        <v/>
      </c>
      <c r="N32" s="45"/>
    </row>
    <row r="33" spans="1:14" s="254" customFormat="1" ht="12.95" customHeight="1" x14ac:dyDescent="0.25">
      <c r="B33" s="254" t="s">
        <v>377</v>
      </c>
      <c r="E33" s="766">
        <v>1.8</v>
      </c>
      <c r="F33" s="736"/>
      <c r="G33" s="744" t="str">
        <f t="shared" si="1"/>
        <v/>
      </c>
      <c r="H33" s="736"/>
      <c r="I33" s="744" t="str">
        <f t="shared" si="2"/>
        <v/>
      </c>
      <c r="J33" s="736"/>
      <c r="K33" s="744" t="str">
        <f t="shared" si="2"/>
        <v/>
      </c>
      <c r="L33" s="736"/>
      <c r="M33" s="744" t="str">
        <f t="shared" si="3"/>
        <v/>
      </c>
      <c r="N33" s="45"/>
    </row>
    <row r="34" spans="1:14" s="254" customFormat="1" ht="12.95" customHeight="1" x14ac:dyDescent="0.25">
      <c r="B34" s="254" t="s">
        <v>378</v>
      </c>
      <c r="E34" s="766">
        <v>2</v>
      </c>
      <c r="F34" s="736"/>
      <c r="G34" s="744" t="str">
        <f t="shared" si="1"/>
        <v/>
      </c>
      <c r="H34" s="736"/>
      <c r="I34" s="744" t="str">
        <f t="shared" si="2"/>
        <v/>
      </c>
      <c r="J34" s="736"/>
      <c r="K34" s="744" t="str">
        <f t="shared" si="2"/>
        <v/>
      </c>
      <c r="L34" s="736"/>
      <c r="M34" s="744" t="str">
        <f t="shared" si="3"/>
        <v/>
      </c>
      <c r="N34" s="45"/>
    </row>
    <row r="35" spans="1:14" s="254" customFormat="1" ht="12.95" customHeight="1" x14ac:dyDescent="0.25">
      <c r="B35" s="254" t="s">
        <v>391</v>
      </c>
      <c r="E35" s="766">
        <v>2.5</v>
      </c>
      <c r="F35" s="736"/>
      <c r="G35" s="744" t="str">
        <f t="shared" si="1"/>
        <v/>
      </c>
      <c r="H35" s="736"/>
      <c r="I35" s="744" t="str">
        <f t="shared" si="2"/>
        <v/>
      </c>
      <c r="J35" s="736"/>
      <c r="K35" s="744" t="str">
        <f t="shared" si="2"/>
        <v/>
      </c>
      <c r="L35" s="736"/>
      <c r="M35" s="744" t="str">
        <f t="shared" si="3"/>
        <v/>
      </c>
      <c r="N35" s="45"/>
    </row>
    <row r="36" spans="1:14" ht="12.95" customHeight="1" x14ac:dyDescent="0.2">
      <c r="B36" s="40" t="s">
        <v>392</v>
      </c>
      <c r="C36" s="1"/>
      <c r="D36" s="203"/>
      <c r="E36" s="766">
        <v>3</v>
      </c>
      <c r="F36" s="736"/>
      <c r="G36" s="744" t="str">
        <f t="shared" si="1"/>
        <v/>
      </c>
      <c r="H36" s="736"/>
      <c r="I36" s="744" t="str">
        <f t="shared" si="2"/>
        <v/>
      </c>
      <c r="J36" s="736"/>
      <c r="K36" s="744" t="str">
        <f t="shared" si="2"/>
        <v/>
      </c>
      <c r="L36" s="736"/>
      <c r="M36" s="744" t="str">
        <f t="shared" si="3"/>
        <v/>
      </c>
      <c r="N36" s="772"/>
    </row>
    <row r="37" spans="1:14" ht="2.1" customHeight="1" x14ac:dyDescent="0.2">
      <c r="A37" s="40"/>
      <c r="B37" s="40"/>
      <c r="C37" s="40"/>
      <c r="D37" s="1"/>
      <c r="E37" s="1"/>
      <c r="F37" s="201"/>
      <c r="G37" s="201"/>
      <c r="H37" s="198"/>
      <c r="I37" s="201"/>
      <c r="J37" s="201"/>
      <c r="K37" s="309"/>
      <c r="L37" s="309"/>
      <c r="N37" s="771"/>
    </row>
    <row r="38" spans="1:14" s="254" customFormat="1" ht="12.75" customHeight="1" x14ac:dyDescent="0.25">
      <c r="B38" s="254" t="s">
        <v>394</v>
      </c>
      <c r="E38" s="729"/>
      <c r="F38" s="730" t="s">
        <v>403</v>
      </c>
      <c r="G38" s="746">
        <f>SUM(G24:G37)</f>
        <v>1.5</v>
      </c>
      <c r="H38" s="730" t="s">
        <v>404</v>
      </c>
      <c r="I38" s="746">
        <f>SUM(I24:I37)</f>
        <v>1</v>
      </c>
      <c r="J38" s="730" t="s">
        <v>405</v>
      </c>
      <c r="K38" s="746">
        <f>SUM(K24:K37)</f>
        <v>1.5</v>
      </c>
      <c r="L38" s="730" t="s">
        <v>406</v>
      </c>
      <c r="M38" s="746">
        <f>SUM(M24:M37)</f>
        <v>1</v>
      </c>
      <c r="N38" s="45"/>
    </row>
    <row r="39" spans="1:14" ht="4.5" customHeight="1" x14ac:dyDescent="0.2">
      <c r="B39" s="40"/>
      <c r="C39" s="1"/>
      <c r="D39" s="203"/>
      <c r="E39" s="739"/>
      <c r="F39" s="740"/>
      <c r="G39" s="740"/>
      <c r="H39" s="741"/>
      <c r="I39" s="741"/>
      <c r="J39" s="741"/>
      <c r="K39" s="740"/>
      <c r="L39" s="740"/>
      <c r="M39" s="740"/>
      <c r="N39" s="772"/>
    </row>
    <row r="40" spans="1:14" s="11" customFormat="1" ht="12.95" customHeight="1" x14ac:dyDescent="0.25">
      <c r="A40" s="445" t="s">
        <v>380</v>
      </c>
      <c r="B40" s="475"/>
      <c r="C40" s="475"/>
      <c r="D40" s="475"/>
      <c r="E40" s="475"/>
      <c r="F40" s="475"/>
      <c r="G40" s="475"/>
      <c r="H40" s="475"/>
      <c r="I40" s="475"/>
      <c r="J40" s="475"/>
      <c r="K40" s="475"/>
      <c r="L40" s="475"/>
      <c r="M40" s="501"/>
      <c r="N40" s="769" t="s">
        <v>427</v>
      </c>
    </row>
    <row r="41" spans="1:14" s="11" customFormat="1" ht="12.75" customHeight="1" x14ac:dyDescent="0.25">
      <c r="A41" s="254"/>
      <c r="F41" s="844" t="s">
        <v>383</v>
      </c>
      <c r="G41" s="844"/>
      <c r="H41" s="845" t="s">
        <v>384</v>
      </c>
      <c r="I41" s="845"/>
      <c r="J41" s="844" t="s">
        <v>385</v>
      </c>
      <c r="K41" s="844"/>
      <c r="L41" s="844" t="s">
        <v>386</v>
      </c>
      <c r="M41" s="844"/>
      <c r="N41" s="45"/>
    </row>
    <row r="42" spans="1:14" s="11" customFormat="1" ht="12.75" customHeight="1" x14ac:dyDescent="0.25">
      <c r="A42" s="254"/>
      <c r="E42" s="779" t="s">
        <v>379</v>
      </c>
      <c r="F42" s="854" t="str">
        <f>IF(F$5="","nicht definiert",F$5)</f>
        <v>Schule UG</v>
      </c>
      <c r="G42" s="855"/>
      <c r="H42" s="856" t="str">
        <f>IF(H$5="","nicht definiert",H$5)</f>
        <v>Technik</v>
      </c>
      <c r="I42" s="856" t="e">
        <f>#REF!</f>
        <v>#REF!</v>
      </c>
      <c r="J42" s="857" t="str">
        <f>IF(J$5="","nicht definiert",J$5)</f>
        <v>Schule</v>
      </c>
      <c r="K42" s="855"/>
      <c r="L42" s="857" t="str">
        <f>IF(L$5="","nicht definiert",L$5)</f>
        <v>Verwaltung</v>
      </c>
      <c r="M42" s="855"/>
      <c r="N42" s="45"/>
    </row>
    <row r="43" spans="1:14" s="11" customFormat="1" ht="3" customHeight="1" x14ac:dyDescent="0.25">
      <c r="A43" s="254"/>
      <c r="E43" s="729"/>
      <c r="F43" s="737"/>
      <c r="G43" s="737"/>
      <c r="H43" s="738"/>
      <c r="I43" s="738"/>
      <c r="J43" s="745"/>
      <c r="K43" s="737"/>
      <c r="L43" s="737"/>
      <c r="M43" s="737"/>
      <c r="N43" s="45"/>
    </row>
    <row r="44" spans="1:14" s="254" customFormat="1" ht="12.75" customHeight="1" x14ac:dyDescent="0.25">
      <c r="B44" s="591" t="s">
        <v>382</v>
      </c>
      <c r="C44" s="591"/>
      <c r="D44" s="591"/>
      <c r="E44" s="765">
        <v>0.5</v>
      </c>
      <c r="F44" s="736"/>
      <c r="G44" s="744" t="str">
        <f t="shared" ref="G44:G51" si="4">IF(F44="x",E44,"")</f>
        <v/>
      </c>
      <c r="H44" s="736"/>
      <c r="I44" s="744" t="str">
        <f t="shared" ref="I44:I51" si="5">IF(H44="x",$E44,"")</f>
        <v/>
      </c>
      <c r="J44" s="736"/>
      <c r="K44" s="744" t="str">
        <f t="shared" ref="K44:K51" si="6">IF(J44="x",$E44,"")</f>
        <v/>
      </c>
      <c r="L44" s="736"/>
      <c r="M44" s="744" t="str">
        <f t="shared" ref="M44:M51" si="7">IF(L44="x",$E44,"")</f>
        <v/>
      </c>
      <c r="N44" s="45"/>
    </row>
    <row r="45" spans="1:14" s="254" customFormat="1" ht="12.75" customHeight="1" x14ac:dyDescent="0.25">
      <c r="B45" s="591" t="s">
        <v>366</v>
      </c>
      <c r="C45" s="591"/>
      <c r="D45" s="591"/>
      <c r="E45" s="765">
        <v>0.1</v>
      </c>
      <c r="F45" s="736" t="s">
        <v>357</v>
      </c>
      <c r="G45" s="744">
        <f t="shared" si="4"/>
        <v>0.1</v>
      </c>
      <c r="H45" s="736" t="s">
        <v>357</v>
      </c>
      <c r="I45" s="744">
        <f t="shared" si="5"/>
        <v>0.1</v>
      </c>
      <c r="J45" s="736"/>
      <c r="K45" s="744" t="str">
        <f t="shared" si="6"/>
        <v/>
      </c>
      <c r="L45" s="736"/>
      <c r="M45" s="744" t="str">
        <f t="shared" si="7"/>
        <v/>
      </c>
      <c r="N45" s="45"/>
    </row>
    <row r="46" spans="1:14" s="254" customFormat="1" ht="12.75" customHeight="1" x14ac:dyDescent="0.25">
      <c r="B46" s="592" t="s">
        <v>367</v>
      </c>
      <c r="C46" s="592"/>
      <c r="D46" s="592"/>
      <c r="E46" s="766">
        <v>0.2</v>
      </c>
      <c r="F46" s="736" t="s">
        <v>357</v>
      </c>
      <c r="G46" s="744">
        <f t="shared" si="4"/>
        <v>0.2</v>
      </c>
      <c r="H46" s="736" t="s">
        <v>357</v>
      </c>
      <c r="I46" s="744">
        <f t="shared" si="5"/>
        <v>0.2</v>
      </c>
      <c r="J46" s="736" t="s">
        <v>357</v>
      </c>
      <c r="K46" s="744">
        <f t="shared" si="6"/>
        <v>0.2</v>
      </c>
      <c r="L46" s="736"/>
      <c r="M46" s="744" t="str">
        <f t="shared" si="7"/>
        <v/>
      </c>
      <c r="N46" s="45"/>
    </row>
    <row r="47" spans="1:14" s="254" customFormat="1" ht="12.75" customHeight="1" x14ac:dyDescent="0.25">
      <c r="B47" s="592" t="s">
        <v>368</v>
      </c>
      <c r="C47" s="592"/>
      <c r="D47" s="592"/>
      <c r="E47" s="766">
        <v>0.2</v>
      </c>
      <c r="F47" s="736"/>
      <c r="G47" s="744" t="str">
        <f t="shared" si="4"/>
        <v/>
      </c>
      <c r="H47" s="736"/>
      <c r="I47" s="744" t="str">
        <f t="shared" si="5"/>
        <v/>
      </c>
      <c r="J47" s="736" t="s">
        <v>357</v>
      </c>
      <c r="K47" s="744">
        <f t="shared" si="6"/>
        <v>0.2</v>
      </c>
      <c r="L47" s="736" t="s">
        <v>357</v>
      </c>
      <c r="M47" s="744">
        <f t="shared" si="7"/>
        <v>0.2</v>
      </c>
      <c r="N47" s="45"/>
    </row>
    <row r="48" spans="1:14" s="254" customFormat="1" ht="12.75" customHeight="1" x14ac:dyDescent="0.25">
      <c r="B48" s="592" t="s">
        <v>422</v>
      </c>
      <c r="C48" s="592"/>
      <c r="D48" s="592"/>
      <c r="E48" s="766">
        <v>0.2</v>
      </c>
      <c r="F48" s="736"/>
      <c r="G48" s="744" t="str">
        <f t="shared" si="4"/>
        <v/>
      </c>
      <c r="H48" s="736"/>
      <c r="I48" s="744" t="str">
        <f t="shared" si="5"/>
        <v/>
      </c>
      <c r="J48" s="736"/>
      <c r="K48" s="744" t="str">
        <f t="shared" si="6"/>
        <v/>
      </c>
      <c r="L48" s="736"/>
      <c r="M48" s="744" t="str">
        <f t="shared" si="7"/>
        <v/>
      </c>
      <c r="N48" s="45"/>
    </row>
    <row r="49" spans="1:14" s="254" customFormat="1" ht="12.75" customHeight="1" x14ac:dyDescent="0.25">
      <c r="B49" s="592" t="s">
        <v>423</v>
      </c>
      <c r="C49" s="592"/>
      <c r="D49" s="592"/>
      <c r="E49" s="766">
        <v>0.2</v>
      </c>
      <c r="F49" s="736"/>
      <c r="G49" s="744" t="str">
        <f t="shared" si="4"/>
        <v/>
      </c>
      <c r="H49" s="736"/>
      <c r="I49" s="744" t="str">
        <f t="shared" si="5"/>
        <v/>
      </c>
      <c r="J49" s="736"/>
      <c r="K49" s="744" t="str">
        <f t="shared" si="6"/>
        <v/>
      </c>
      <c r="L49" s="736"/>
      <c r="M49" s="744" t="str">
        <f t="shared" si="7"/>
        <v/>
      </c>
      <c r="N49" s="45"/>
    </row>
    <row r="50" spans="1:14" s="254" customFormat="1" ht="12.75" customHeight="1" x14ac:dyDescent="0.25">
      <c r="B50" s="592" t="s">
        <v>424</v>
      </c>
      <c r="C50" s="592"/>
      <c r="D50" s="592"/>
      <c r="E50" s="766">
        <v>0.2</v>
      </c>
      <c r="F50" s="736"/>
      <c r="G50" s="744" t="str">
        <f t="shared" si="4"/>
        <v/>
      </c>
      <c r="H50" s="736"/>
      <c r="I50" s="744" t="str">
        <f t="shared" si="5"/>
        <v/>
      </c>
      <c r="J50" s="736"/>
      <c r="K50" s="744" t="str">
        <f t="shared" si="6"/>
        <v/>
      </c>
      <c r="L50" s="736"/>
      <c r="M50" s="744" t="str">
        <f t="shared" si="7"/>
        <v/>
      </c>
      <c r="N50" s="45"/>
    </row>
    <row r="51" spans="1:14" s="254" customFormat="1" ht="12.75" customHeight="1" x14ac:dyDescent="0.25">
      <c r="B51" s="592" t="s">
        <v>425</v>
      </c>
      <c r="C51" s="592"/>
      <c r="D51" s="592"/>
      <c r="E51" s="766">
        <v>0.3</v>
      </c>
      <c r="F51" s="736"/>
      <c r="G51" s="744" t="str">
        <f t="shared" si="4"/>
        <v/>
      </c>
      <c r="H51" s="736"/>
      <c r="I51" s="744" t="str">
        <f t="shared" si="5"/>
        <v/>
      </c>
      <c r="J51" s="736"/>
      <c r="K51" s="744" t="str">
        <f t="shared" si="6"/>
        <v/>
      </c>
      <c r="L51" s="736"/>
      <c r="M51" s="744" t="str">
        <f t="shared" si="7"/>
        <v/>
      </c>
      <c r="N51" s="45"/>
    </row>
    <row r="52" spans="1:14" ht="3" customHeight="1" x14ac:dyDescent="0.2">
      <c r="A52" s="40"/>
      <c r="B52" s="40"/>
      <c r="C52" s="40"/>
      <c r="D52" s="1"/>
      <c r="E52" s="1"/>
      <c r="F52" s="201"/>
      <c r="G52" s="201"/>
      <c r="H52" s="198"/>
      <c r="I52" s="201"/>
      <c r="J52" s="201"/>
      <c r="K52" s="309"/>
      <c r="L52" s="309"/>
      <c r="N52" s="771"/>
    </row>
    <row r="53" spans="1:14" s="254" customFormat="1" ht="12.75" customHeight="1" x14ac:dyDescent="0.25">
      <c r="B53" s="254" t="s">
        <v>393</v>
      </c>
      <c r="E53" s="729"/>
      <c r="F53" s="45" t="s">
        <v>395</v>
      </c>
      <c r="G53" s="746">
        <f>SUM(G44:G52)</f>
        <v>0.30000000000000004</v>
      </c>
      <c r="H53" s="45" t="s">
        <v>396</v>
      </c>
      <c r="I53" s="746">
        <f>SUM(I44:I52)</f>
        <v>0.30000000000000004</v>
      </c>
      <c r="J53" s="45" t="s">
        <v>397</v>
      </c>
      <c r="K53" s="746">
        <f>SUM(K44:K52)</f>
        <v>0.4</v>
      </c>
      <c r="L53" s="45" t="s">
        <v>398</v>
      </c>
      <c r="M53" s="746">
        <f>SUM(M44:M52)</f>
        <v>0.2</v>
      </c>
      <c r="N53" s="45"/>
    </row>
    <row r="54" spans="1:14" s="254" customFormat="1" ht="4.5" customHeight="1" x14ac:dyDescent="0.25">
      <c r="E54" s="725"/>
      <c r="F54" s="726"/>
      <c r="G54" s="726"/>
      <c r="I54" s="727"/>
      <c r="J54" s="727"/>
      <c r="K54" s="728"/>
      <c r="L54" s="728"/>
      <c r="N54" s="45"/>
    </row>
    <row r="55" spans="1:14" ht="12.95" customHeight="1" x14ac:dyDescent="0.2">
      <c r="A55" s="340" t="s">
        <v>171</v>
      </c>
      <c r="B55" s="340"/>
      <c r="C55" s="341"/>
      <c r="D55" s="341"/>
      <c r="E55" s="341"/>
      <c r="F55" s="341"/>
      <c r="G55" s="341"/>
      <c r="H55" s="343"/>
      <c r="I55" s="341"/>
      <c r="J55" s="341"/>
      <c r="K55" s="358"/>
      <c r="L55" s="358"/>
      <c r="M55" s="747"/>
      <c r="N55" s="773"/>
    </row>
    <row r="56" spans="1:14" ht="3" customHeight="1" x14ac:dyDescent="0.2">
      <c r="A56" s="205"/>
      <c r="B56" s="205"/>
      <c r="C56" s="205"/>
      <c r="D56" s="205"/>
      <c r="F56" s="8"/>
      <c r="G56" s="8"/>
      <c r="K56" s="1"/>
      <c r="L56" s="1"/>
      <c r="N56" s="773"/>
    </row>
    <row r="57" spans="1:14" ht="14.25" customHeight="1" x14ac:dyDescent="0.2">
      <c r="A57" s="206" t="s">
        <v>428</v>
      </c>
      <c r="B57" s="206"/>
      <c r="C57" s="1"/>
      <c r="F57" s="751" t="s">
        <v>399</v>
      </c>
      <c r="G57" s="748">
        <f>(1+$I$18)*(1+G53)</f>
        <v>1.56</v>
      </c>
      <c r="H57" s="751" t="s">
        <v>400</v>
      </c>
      <c r="I57" s="748">
        <f>(1+$I$18)*(1+I53)</f>
        <v>1.56</v>
      </c>
      <c r="J57" s="751" t="s">
        <v>401</v>
      </c>
      <c r="K57" s="748">
        <f>(1+$I$18)*(1+K53)</f>
        <v>1.68</v>
      </c>
      <c r="L57" s="751" t="s">
        <v>402</v>
      </c>
      <c r="M57" s="748">
        <f>(1+$I$18)*(1+M53)</f>
        <v>1.44</v>
      </c>
      <c r="N57" s="773"/>
    </row>
    <row r="58" spans="1:14" ht="3" customHeight="1" x14ac:dyDescent="0.2">
      <c r="A58" s="40"/>
      <c r="B58" s="40"/>
      <c r="C58" s="40"/>
      <c r="D58" s="1"/>
      <c r="E58" s="1"/>
      <c r="F58" s="201"/>
      <c r="G58" s="201"/>
      <c r="H58" s="198"/>
      <c r="I58" s="201"/>
      <c r="J58" s="201"/>
      <c r="K58" s="309"/>
      <c r="L58" s="309"/>
      <c r="N58" s="771"/>
    </row>
    <row r="59" spans="1:14" ht="15.75" customHeight="1" x14ac:dyDescent="0.2">
      <c r="A59" s="858" t="s">
        <v>429</v>
      </c>
      <c r="B59" s="858"/>
      <c r="C59" s="858"/>
      <c r="D59" s="858"/>
      <c r="E59" s="858"/>
      <c r="F59" s="751" t="s">
        <v>410</v>
      </c>
      <c r="G59" s="749">
        <f>F6*G38*G57</f>
        <v>2106</v>
      </c>
      <c r="H59" s="751" t="s">
        <v>411</v>
      </c>
      <c r="I59" s="749">
        <f>H6*I38*I57</f>
        <v>1248</v>
      </c>
      <c r="J59" s="751" t="s">
        <v>412</v>
      </c>
      <c r="K59" s="749">
        <f>J6*K38*K57</f>
        <v>15624</v>
      </c>
      <c r="L59" s="751" t="s">
        <v>413</v>
      </c>
      <c r="M59" s="749">
        <f>L6*M38*M57</f>
        <v>576</v>
      </c>
      <c r="N59" s="773"/>
    </row>
    <row r="60" spans="1:14" ht="3" customHeight="1" x14ac:dyDescent="0.2">
      <c r="A60" s="40"/>
      <c r="B60" s="40"/>
      <c r="C60" s="40"/>
      <c r="D60" s="1"/>
      <c r="E60" s="1"/>
      <c r="F60" s="201"/>
      <c r="G60" s="201"/>
      <c r="H60" s="604"/>
      <c r="I60" s="201"/>
      <c r="J60" s="201"/>
      <c r="K60" s="309"/>
      <c r="L60" s="309"/>
      <c r="M60" s="59"/>
      <c r="N60" s="771"/>
    </row>
    <row r="61" spans="1:14" ht="15.75" customHeight="1" x14ac:dyDescent="0.2">
      <c r="A61" s="858" t="s">
        <v>408</v>
      </c>
      <c r="B61" s="858"/>
      <c r="C61" s="858"/>
      <c r="D61" s="858"/>
      <c r="E61" s="858"/>
      <c r="F61" s="859">
        <f>G59+I59+K59+M59</f>
        <v>19554</v>
      </c>
      <c r="G61" s="859"/>
      <c r="H61" s="859"/>
      <c r="I61" s="859"/>
      <c r="J61" s="859"/>
      <c r="K61" s="859"/>
      <c r="L61" s="859"/>
      <c r="M61" s="859"/>
      <c r="N61" s="773"/>
    </row>
    <row r="62" spans="1:14" ht="3" customHeight="1" x14ac:dyDescent="0.2">
      <c r="A62" s="40"/>
      <c r="B62" s="40"/>
      <c r="C62" s="40"/>
      <c r="D62" s="1"/>
      <c r="E62" s="1"/>
      <c r="F62" s="201"/>
      <c r="G62" s="201"/>
      <c r="H62" s="604"/>
      <c r="I62" s="201"/>
      <c r="J62" s="201"/>
      <c r="K62" s="309"/>
      <c r="L62" s="309"/>
      <c r="M62" s="59"/>
      <c r="N62" s="771"/>
    </row>
    <row r="63" spans="1:14" ht="15.75" customHeight="1" x14ac:dyDescent="0.2">
      <c r="A63" s="858" t="s">
        <v>414</v>
      </c>
      <c r="B63" s="858"/>
      <c r="C63" s="858"/>
      <c r="D63" s="858"/>
      <c r="E63" s="858"/>
      <c r="F63" s="860">
        <f>2300+130*F61^0.61</f>
        <v>56201.031325918782</v>
      </c>
      <c r="G63" s="860"/>
      <c r="H63" s="860"/>
      <c r="I63" s="860"/>
      <c r="J63" s="860"/>
      <c r="K63" s="860"/>
      <c r="L63" s="860"/>
      <c r="M63" s="860"/>
      <c r="N63" s="773"/>
    </row>
    <row r="64" spans="1:14" ht="3" customHeight="1" x14ac:dyDescent="0.2">
      <c r="A64" s="39"/>
      <c r="B64" s="40"/>
      <c r="C64" s="40"/>
      <c r="D64" s="208"/>
      <c r="E64" s="208"/>
      <c r="F64" s="208"/>
      <c r="G64" s="208"/>
      <c r="H64" s="209"/>
      <c r="I64" s="209"/>
      <c r="J64" s="209"/>
      <c r="K64" s="57"/>
      <c r="L64" s="57"/>
      <c r="M64" s="41"/>
      <c r="N64" s="773"/>
    </row>
    <row r="65" spans="1:16" ht="12.95" customHeight="1" x14ac:dyDescent="0.2">
      <c r="A65" s="350" t="s">
        <v>170</v>
      </c>
      <c r="B65" s="351"/>
      <c r="C65" s="351"/>
      <c r="D65" s="352"/>
      <c r="E65" s="352"/>
      <c r="F65" s="352"/>
      <c r="G65" s="352"/>
      <c r="H65" s="353"/>
      <c r="I65" s="353"/>
      <c r="J65" s="353"/>
      <c r="K65" s="342"/>
      <c r="L65" s="342"/>
      <c r="M65" s="355"/>
      <c r="N65" s="773"/>
    </row>
    <row r="66" spans="1:16" ht="3" customHeight="1" x14ac:dyDescent="0.2">
      <c r="A66" s="345"/>
      <c r="B66" s="40"/>
      <c r="C66" s="40"/>
      <c r="D66" s="208"/>
      <c r="E66" s="208"/>
      <c r="F66" s="208"/>
      <c r="G66" s="208"/>
      <c r="H66" s="209"/>
      <c r="I66" s="209"/>
      <c r="J66" s="209"/>
      <c r="K66" s="57"/>
      <c r="L66" s="57"/>
      <c r="M66" s="41"/>
      <c r="N66" s="773"/>
    </row>
    <row r="67" spans="1:16" ht="12.75" customHeight="1" x14ac:dyDescent="0.2">
      <c r="A67" s="210" t="s">
        <v>349</v>
      </c>
      <c r="B67" s="210"/>
      <c r="C67" s="420"/>
      <c r="D67" s="1"/>
      <c r="F67" s="763"/>
      <c r="G67" s="763">
        <v>0.01</v>
      </c>
      <c r="H67" s="861">
        <v>0.01</v>
      </c>
      <c r="I67" s="861"/>
      <c r="J67" s="1"/>
      <c r="K67" s="212">
        <v>1</v>
      </c>
      <c r="L67" s="862">
        <f t="shared" ref="L67:L79" si="8">IF($F$63=0,"-",$F$63*H67)</f>
        <v>562.0103132591878</v>
      </c>
      <c r="M67" s="862"/>
      <c r="N67" s="772"/>
    </row>
    <row r="68" spans="1:16" ht="12.75" customHeight="1" x14ac:dyDescent="0.2">
      <c r="A68" s="210" t="s">
        <v>350</v>
      </c>
      <c r="B68" s="210"/>
      <c r="C68" s="420"/>
      <c r="D68" s="1"/>
      <c r="F68" s="763"/>
      <c r="G68" s="763">
        <v>0.15</v>
      </c>
      <c r="H68" s="861">
        <v>0.15</v>
      </c>
      <c r="I68" s="861"/>
      <c r="J68" s="1"/>
      <c r="K68" s="212">
        <v>2</v>
      </c>
      <c r="L68" s="862">
        <f t="shared" si="8"/>
        <v>8430.1546988878163</v>
      </c>
      <c r="M68" s="862"/>
      <c r="N68" s="772"/>
    </row>
    <row r="69" spans="1:16" ht="12.75" customHeight="1" x14ac:dyDescent="0.2">
      <c r="A69" s="210" t="s">
        <v>37</v>
      </c>
      <c r="B69" s="210"/>
      <c r="C69" s="420"/>
      <c r="D69" s="1"/>
      <c r="F69" s="763"/>
      <c r="G69" s="763">
        <v>0.19</v>
      </c>
      <c r="H69" s="861">
        <v>0.19</v>
      </c>
      <c r="I69" s="861"/>
      <c r="J69" s="1"/>
      <c r="K69" s="212">
        <v>3</v>
      </c>
      <c r="L69" s="862">
        <f t="shared" si="8"/>
        <v>10678.195951924568</v>
      </c>
      <c r="M69" s="862"/>
      <c r="N69" s="772"/>
    </row>
    <row r="70" spans="1:16" ht="12.75" customHeight="1" x14ac:dyDescent="0.2">
      <c r="A70" s="210" t="s">
        <v>351</v>
      </c>
      <c r="B70" s="210"/>
      <c r="C70" s="420"/>
      <c r="D70" s="1"/>
      <c r="F70" s="763"/>
      <c r="G70" s="763">
        <v>0.15</v>
      </c>
      <c r="H70" s="861">
        <v>0.15</v>
      </c>
      <c r="I70" s="861"/>
      <c r="J70" s="1"/>
      <c r="K70" s="212">
        <v>4</v>
      </c>
      <c r="L70" s="862">
        <f t="shared" si="8"/>
        <v>8430.1546988878163</v>
      </c>
      <c r="M70" s="862"/>
      <c r="N70" s="772"/>
    </row>
    <row r="71" spans="1:16" ht="12.75" customHeight="1" x14ac:dyDescent="0.2">
      <c r="A71" s="210" t="s">
        <v>39</v>
      </c>
      <c r="B71" s="210"/>
      <c r="C71" s="420"/>
      <c r="D71" s="1"/>
      <c r="F71" s="763"/>
      <c r="G71" s="763">
        <v>0.18</v>
      </c>
      <c r="H71" s="861">
        <v>0.18</v>
      </c>
      <c r="I71" s="861"/>
      <c r="J71" s="1"/>
      <c r="K71" s="212">
        <v>5</v>
      </c>
      <c r="L71" s="862">
        <f t="shared" si="8"/>
        <v>10116.18563866538</v>
      </c>
      <c r="M71" s="862"/>
      <c r="N71" s="772"/>
    </row>
    <row r="72" spans="1:16" ht="12.75" customHeight="1" x14ac:dyDescent="0.2">
      <c r="A72" s="210" t="s">
        <v>352</v>
      </c>
      <c r="B72" s="210"/>
      <c r="C72" s="420"/>
      <c r="D72" s="1"/>
      <c r="F72" s="763"/>
      <c r="G72" s="763">
        <v>0</v>
      </c>
      <c r="H72" s="861">
        <v>0</v>
      </c>
      <c r="I72" s="861"/>
      <c r="J72" s="1"/>
      <c r="K72" s="212">
        <v>6</v>
      </c>
      <c r="L72" s="862">
        <f t="shared" si="8"/>
        <v>0</v>
      </c>
      <c r="M72" s="862"/>
      <c r="N72" s="772"/>
    </row>
    <row r="73" spans="1:16" ht="12.75" customHeight="1" x14ac:dyDescent="0.2">
      <c r="A73" s="210" t="s">
        <v>41</v>
      </c>
      <c r="B73" s="210"/>
      <c r="C73" s="420"/>
      <c r="D73" s="1"/>
      <c r="F73" s="763"/>
      <c r="G73" s="763">
        <v>0</v>
      </c>
      <c r="H73" s="861">
        <v>0</v>
      </c>
      <c r="I73" s="861"/>
      <c r="J73" s="1"/>
      <c r="K73" s="212"/>
      <c r="L73" s="862">
        <f t="shared" si="8"/>
        <v>0</v>
      </c>
      <c r="M73" s="862"/>
      <c r="N73" s="772"/>
    </row>
    <row r="74" spans="1:16" ht="12.75" customHeight="1" x14ac:dyDescent="0.2">
      <c r="A74" s="210" t="s">
        <v>354</v>
      </c>
      <c r="B74" s="210"/>
      <c r="C74" s="420"/>
      <c r="D74" s="1"/>
      <c r="F74" s="763"/>
      <c r="G74" s="763">
        <v>0</v>
      </c>
      <c r="H74" s="861">
        <v>0</v>
      </c>
      <c r="I74" s="861"/>
      <c r="J74" s="1"/>
      <c r="K74" s="212">
        <v>7</v>
      </c>
      <c r="L74" s="862">
        <f t="shared" si="8"/>
        <v>0</v>
      </c>
      <c r="M74" s="862"/>
      <c r="N74" s="772"/>
    </row>
    <row r="75" spans="1:16" ht="12.75" customHeight="1" x14ac:dyDescent="0.2">
      <c r="A75" s="193" t="s">
        <v>353</v>
      </c>
      <c r="B75" s="193"/>
      <c r="C75" s="420"/>
      <c r="D75" s="1"/>
      <c r="F75" s="763"/>
      <c r="G75" s="763">
        <v>0.32</v>
      </c>
      <c r="H75" s="861">
        <v>0.32</v>
      </c>
      <c r="I75" s="861"/>
      <c r="J75" s="1"/>
      <c r="K75" s="212">
        <v>8</v>
      </c>
      <c r="L75" s="862">
        <f t="shared" si="8"/>
        <v>17984.330024294009</v>
      </c>
      <c r="M75" s="862"/>
      <c r="N75" s="772"/>
    </row>
    <row r="76" spans="1:16" ht="12.75" customHeight="1" x14ac:dyDescent="0.2">
      <c r="A76" s="294" t="s">
        <v>55</v>
      </c>
      <c r="B76" s="294"/>
      <c r="C76" s="295"/>
      <c r="D76" s="1"/>
      <c r="F76" s="763"/>
      <c r="G76" s="763">
        <v>0</v>
      </c>
      <c r="H76" s="861">
        <v>0</v>
      </c>
      <c r="I76" s="861"/>
      <c r="J76" s="1"/>
      <c r="K76" s="296">
        <v>9</v>
      </c>
      <c r="L76" s="862">
        <f t="shared" si="8"/>
        <v>0</v>
      </c>
      <c r="M76" s="862"/>
      <c r="N76" s="772"/>
    </row>
    <row r="77" spans="1:16" s="303" customFormat="1" ht="12.75" customHeight="1" x14ac:dyDescent="0.25">
      <c r="A77" s="580" t="s">
        <v>164</v>
      </c>
      <c r="B77" s="580"/>
      <c r="C77" s="581"/>
      <c r="F77" s="763"/>
      <c r="G77" s="763"/>
      <c r="H77" s="861">
        <v>0</v>
      </c>
      <c r="I77" s="861"/>
      <c r="J77" s="634"/>
      <c r="L77" s="862">
        <f t="shared" si="8"/>
        <v>0</v>
      </c>
      <c r="M77" s="862"/>
      <c r="N77" s="774"/>
      <c r="O77" s="302"/>
      <c r="P77" s="302"/>
    </row>
    <row r="78" spans="1:16" s="303" customFormat="1" ht="12.75" customHeight="1" x14ac:dyDescent="0.25">
      <c r="A78" s="580" t="s">
        <v>164</v>
      </c>
      <c r="B78" s="580"/>
      <c r="C78" s="581"/>
      <c r="F78" s="763"/>
      <c r="G78" s="763"/>
      <c r="H78" s="861">
        <v>0</v>
      </c>
      <c r="I78" s="861"/>
      <c r="J78" s="634"/>
      <c r="L78" s="862">
        <f t="shared" si="8"/>
        <v>0</v>
      </c>
      <c r="M78" s="862"/>
      <c r="N78" s="774"/>
      <c r="O78" s="302"/>
      <c r="P78" s="302"/>
    </row>
    <row r="79" spans="1:16" s="303" customFormat="1" ht="12.75" customHeight="1" x14ac:dyDescent="0.25">
      <c r="A79" s="297" t="s">
        <v>164</v>
      </c>
      <c r="B79" s="297"/>
      <c r="C79" s="298"/>
      <c r="D79" s="299"/>
      <c r="E79" s="299"/>
      <c r="F79" s="764"/>
      <c r="G79" s="764"/>
      <c r="H79" s="863">
        <v>0</v>
      </c>
      <c r="I79" s="863"/>
      <c r="J79" s="754"/>
      <c r="K79" s="753"/>
      <c r="L79" s="864">
        <f t="shared" si="8"/>
        <v>0</v>
      </c>
      <c r="M79" s="864"/>
      <c r="N79" s="774"/>
      <c r="O79" s="302"/>
      <c r="P79" s="302"/>
    </row>
    <row r="80" spans="1:16" ht="15" customHeight="1" x14ac:dyDescent="0.2">
      <c r="A80" s="213" t="s">
        <v>190</v>
      </c>
      <c r="B80" s="193"/>
      <c r="C80" s="28"/>
      <c r="D80" s="1"/>
      <c r="F80" s="868">
        <f>SUM(G67:G76)</f>
        <v>1</v>
      </c>
      <c r="G80" s="868"/>
      <c r="H80" s="865">
        <f>SUM(H67:H79)</f>
        <v>1</v>
      </c>
      <c r="I80" s="865"/>
      <c r="K80" s="1"/>
      <c r="L80" s="862">
        <f>SUM(L67:L79)</f>
        <v>56201.031325918782</v>
      </c>
      <c r="M80" s="862"/>
      <c r="N80" s="772"/>
    </row>
    <row r="81" spans="1:17" ht="4.5" customHeight="1" x14ac:dyDescent="0.25">
      <c r="H81" s="247"/>
      <c r="K81" s="1"/>
      <c r="L81" s="1"/>
      <c r="M81" s="514"/>
      <c r="N81" s="750"/>
    </row>
    <row r="82" spans="1:17" ht="12.75" customHeight="1" x14ac:dyDescent="0.25">
      <c r="A82" s="356" t="s">
        <v>172</v>
      </c>
      <c r="B82" s="357"/>
      <c r="C82" s="357"/>
      <c r="D82" s="343"/>
      <c r="E82" s="343"/>
      <c r="F82" s="343"/>
      <c r="G82" s="343"/>
      <c r="H82" s="364"/>
      <c r="I82" s="343"/>
      <c r="J82" s="343"/>
      <c r="K82" s="358"/>
      <c r="L82" s="343"/>
      <c r="M82" s="385"/>
      <c r="N82" s="772"/>
    </row>
    <row r="83" spans="1:17" ht="3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"/>
      <c r="L83" s="2"/>
      <c r="M83" s="2"/>
      <c r="N83" s="772"/>
      <c r="O83" s="11"/>
      <c r="P83" s="11"/>
    </row>
    <row r="84" spans="1:17" ht="12.75" customHeight="1" x14ac:dyDescent="0.2">
      <c r="A84" s="858" t="s">
        <v>415</v>
      </c>
      <c r="B84" s="858"/>
      <c r="C84" s="858"/>
      <c r="D84" s="858"/>
      <c r="E84" s="858"/>
      <c r="H84" s="247"/>
      <c r="K84" s="1"/>
      <c r="L84" s="866">
        <f>L80</f>
        <v>56201.031325918782</v>
      </c>
      <c r="M84" s="866"/>
      <c r="N84" s="772"/>
    </row>
    <row r="85" spans="1:17" ht="12.75" customHeight="1" x14ac:dyDescent="0.25">
      <c r="A85" s="48" t="s">
        <v>113</v>
      </c>
      <c r="F85" s="867">
        <v>0</v>
      </c>
      <c r="G85" s="867"/>
      <c r="H85" s="617"/>
      <c r="I85" s="827">
        <v>0</v>
      </c>
      <c r="J85" s="827"/>
      <c r="K85" s="1"/>
      <c r="L85" s="866">
        <f>F85*I85</f>
        <v>0</v>
      </c>
      <c r="M85" s="866"/>
      <c r="N85" s="772"/>
      <c r="O85" s="556"/>
      <c r="P85" s="556"/>
      <c r="Q85" s="556"/>
    </row>
    <row r="86" spans="1:17" ht="3" customHeight="1" x14ac:dyDescent="0.2">
      <c r="A86" s="11"/>
      <c r="B86" s="11"/>
      <c r="C86" s="11"/>
      <c r="D86" s="11"/>
      <c r="E86" s="11"/>
      <c r="F86" s="755"/>
      <c r="G86" s="755"/>
      <c r="H86" s="11"/>
      <c r="I86" s="11"/>
      <c r="J86" s="11"/>
      <c r="K86" s="1"/>
      <c r="L86" s="866"/>
      <c r="M86" s="866"/>
      <c r="N86" s="772"/>
      <c r="O86" s="11"/>
      <c r="P86" s="11"/>
    </row>
    <row r="87" spans="1:17" s="32" customFormat="1" ht="12.75" x14ac:dyDescent="0.2">
      <c r="A87" s="557" t="s">
        <v>282</v>
      </c>
      <c r="B87" s="558"/>
      <c r="C87" s="559"/>
      <c r="D87" s="559"/>
      <c r="E87" s="560"/>
      <c r="F87" s="756"/>
      <c r="G87" s="756"/>
      <c r="H87" s="248"/>
      <c r="I87" s="560"/>
      <c r="J87" s="560"/>
      <c r="K87" s="560"/>
      <c r="L87" s="869">
        <f>L84+L85</f>
        <v>56201.031325918782</v>
      </c>
      <c r="M87" s="869"/>
      <c r="N87" s="775"/>
    </row>
    <row r="88" spans="1:17" s="32" customFormat="1" ht="3" customHeight="1" x14ac:dyDescent="0.2">
      <c r="B88" s="33"/>
      <c r="C88" s="34"/>
      <c r="D88" s="34"/>
      <c r="E88" s="65"/>
      <c r="F88" s="757"/>
      <c r="G88" s="757"/>
      <c r="H88" s="242"/>
      <c r="I88" s="93"/>
      <c r="J88" s="93"/>
      <c r="L88" s="866"/>
      <c r="M88" s="866"/>
      <c r="N88" s="775"/>
    </row>
    <row r="89" spans="1:17" s="32" customFormat="1" ht="12.75" x14ac:dyDescent="0.2">
      <c r="A89" s="68" t="s">
        <v>13</v>
      </c>
      <c r="B89" s="33"/>
      <c r="C89" s="34"/>
      <c r="D89" s="34"/>
      <c r="E89" s="76"/>
      <c r="F89" s="870">
        <v>0.04</v>
      </c>
      <c r="G89" s="870"/>
      <c r="I89" s="94"/>
      <c r="J89" s="94"/>
      <c r="L89" s="866">
        <f>ROUND(L87*F89,2)</f>
        <v>2248.04</v>
      </c>
      <c r="M89" s="866"/>
      <c r="N89" s="775"/>
    </row>
    <row r="90" spans="1:17" s="32" customFormat="1" ht="3" customHeight="1" x14ac:dyDescent="0.2">
      <c r="A90" s="69"/>
      <c r="B90" s="70"/>
      <c r="C90" s="71"/>
      <c r="D90" s="71"/>
      <c r="E90" s="77"/>
      <c r="F90" s="758"/>
      <c r="G90" s="758"/>
      <c r="H90" s="69"/>
      <c r="I90" s="95"/>
      <c r="J90" s="95"/>
      <c r="K90" s="95"/>
      <c r="L90" s="95"/>
      <c r="M90" s="95"/>
      <c r="N90" s="775"/>
    </row>
    <row r="91" spans="1:17" s="32" customFormat="1" ht="3" customHeight="1" x14ac:dyDescent="0.2">
      <c r="B91" s="33"/>
      <c r="C91" s="34"/>
      <c r="D91" s="34"/>
      <c r="E91" s="72"/>
      <c r="F91" s="759"/>
      <c r="G91" s="759"/>
      <c r="I91" s="93"/>
      <c r="J91" s="93"/>
      <c r="L91" s="866"/>
      <c r="M91" s="866"/>
      <c r="N91" s="775"/>
    </row>
    <row r="92" spans="1:17" s="32" customFormat="1" ht="12.75" x14ac:dyDescent="0.2">
      <c r="A92" s="557" t="s">
        <v>416</v>
      </c>
      <c r="B92" s="558"/>
      <c r="C92" s="559"/>
      <c r="D92" s="559"/>
      <c r="E92" s="363"/>
      <c r="F92" s="760"/>
      <c r="G92" s="760"/>
      <c r="H92" s="560"/>
      <c r="I92" s="360"/>
      <c r="J92" s="360"/>
      <c r="K92" s="560"/>
      <c r="L92" s="869">
        <f>L87+L89</f>
        <v>58449.071325918783</v>
      </c>
      <c r="M92" s="869"/>
      <c r="N92" s="775"/>
    </row>
    <row r="93" spans="1:17" s="159" customFormat="1" ht="3" customHeight="1" x14ac:dyDescent="0.2">
      <c r="A93" s="73"/>
      <c r="B93" s="74"/>
      <c r="C93" s="75"/>
      <c r="D93" s="75"/>
      <c r="E93" s="35"/>
      <c r="F93" s="90"/>
      <c r="G93" s="90"/>
      <c r="I93" s="94"/>
      <c r="J93" s="94"/>
      <c r="L93" s="866"/>
      <c r="M93" s="866"/>
      <c r="N93" s="776"/>
    </row>
    <row r="94" spans="1:17" s="32" customFormat="1" ht="12.75" x14ac:dyDescent="0.2">
      <c r="A94" s="32" t="s">
        <v>150</v>
      </c>
      <c r="B94" s="33"/>
      <c r="D94" s="34"/>
      <c r="E94" s="72"/>
      <c r="F94" s="870">
        <v>0</v>
      </c>
      <c r="G94" s="870"/>
      <c r="I94" s="38"/>
      <c r="J94" s="38"/>
      <c r="L94" s="866">
        <f>ROUND(L92*F94,2)</f>
        <v>0</v>
      </c>
      <c r="M94" s="866"/>
      <c r="N94" s="775"/>
    </row>
    <row r="95" spans="1:17" s="32" customFormat="1" ht="3" customHeight="1" x14ac:dyDescent="0.2">
      <c r="A95" s="37"/>
      <c r="B95" s="231"/>
      <c r="C95" s="78"/>
      <c r="D95" s="78"/>
      <c r="E95" s="72"/>
      <c r="F95" s="761"/>
      <c r="G95" s="761"/>
      <c r="I95" s="93"/>
      <c r="J95" s="93"/>
      <c r="L95" s="866"/>
      <c r="M95" s="866"/>
      <c r="N95" s="775"/>
    </row>
    <row r="96" spans="1:17" s="32" customFormat="1" ht="3" customHeight="1" x14ac:dyDescent="0.2">
      <c r="A96" s="69"/>
      <c r="B96" s="70"/>
      <c r="C96" s="71"/>
      <c r="D96" s="71"/>
      <c r="E96" s="77"/>
      <c r="F96" s="758"/>
      <c r="G96" s="758"/>
      <c r="H96" s="69"/>
      <c r="I96" s="95"/>
      <c r="J96" s="95"/>
      <c r="K96" s="95"/>
      <c r="L96" s="95"/>
      <c r="M96" s="95"/>
      <c r="N96" s="775"/>
    </row>
    <row r="97" spans="1:16" s="32" customFormat="1" ht="3" customHeight="1" x14ac:dyDescent="0.2">
      <c r="B97" s="33"/>
      <c r="C97" s="34"/>
      <c r="D97" s="34"/>
      <c r="E97" s="72"/>
      <c r="F97" s="759"/>
      <c r="G97" s="759"/>
      <c r="I97" s="93"/>
      <c r="J97" s="93"/>
      <c r="L97" s="866"/>
      <c r="M97" s="866"/>
      <c r="N97" s="775"/>
    </row>
    <row r="98" spans="1:16" s="32" customFormat="1" ht="12.75" x14ac:dyDescent="0.2">
      <c r="A98" s="557" t="s">
        <v>417</v>
      </c>
      <c r="B98" s="558"/>
      <c r="C98" s="559"/>
      <c r="D98" s="559"/>
      <c r="E98" s="363"/>
      <c r="F98" s="760"/>
      <c r="G98" s="760"/>
      <c r="H98" s="560"/>
      <c r="I98" s="360"/>
      <c r="J98" s="360"/>
      <c r="K98" s="560"/>
      <c r="L98" s="869">
        <f>L87+L89</f>
        <v>58449.071325918783</v>
      </c>
      <c r="M98" s="869"/>
      <c r="N98" s="775"/>
    </row>
    <row r="99" spans="1:16" s="159" customFormat="1" ht="3" customHeight="1" x14ac:dyDescent="0.2">
      <c r="A99" s="73"/>
      <c r="B99" s="74"/>
      <c r="C99" s="75"/>
      <c r="D99" s="75"/>
      <c r="E99" s="615"/>
      <c r="F99" s="629"/>
      <c r="G99" s="629"/>
      <c r="L99" s="866"/>
      <c r="M99" s="866"/>
      <c r="N99" s="776"/>
      <c r="O99" s="82"/>
      <c r="P99" s="83"/>
    </row>
    <row r="100" spans="1:16" s="32" customFormat="1" ht="12.75" x14ac:dyDescent="0.2">
      <c r="A100" s="32" t="s">
        <v>14</v>
      </c>
      <c r="B100" s="33"/>
      <c r="D100" s="34"/>
      <c r="E100" s="72"/>
      <c r="F100" s="871">
        <v>0.2</v>
      </c>
      <c r="G100" s="871"/>
      <c r="I100" s="38"/>
      <c r="J100" s="38"/>
      <c r="L100" s="866">
        <f>ROUND(L98*F100,2)</f>
        <v>11689.81</v>
      </c>
      <c r="M100" s="866"/>
      <c r="N100" s="775"/>
    </row>
    <row r="101" spans="1:16" s="32" customFormat="1" ht="3" customHeight="1" x14ac:dyDescent="0.2">
      <c r="A101" s="37"/>
      <c r="B101" s="231"/>
      <c r="C101" s="78"/>
      <c r="D101" s="78"/>
      <c r="E101" s="72"/>
      <c r="F101" s="67"/>
      <c r="G101" s="67"/>
      <c r="I101" s="93"/>
      <c r="J101" s="93"/>
      <c r="L101" s="866"/>
      <c r="M101" s="866"/>
      <c r="N101" s="775"/>
    </row>
    <row r="102" spans="1:16" s="37" customFormat="1" ht="12.75" x14ac:dyDescent="0.2">
      <c r="A102" s="564" t="s">
        <v>284</v>
      </c>
      <c r="B102" s="569"/>
      <c r="C102" s="565"/>
      <c r="D102" s="565"/>
      <c r="E102" s="566"/>
      <c r="F102" s="567"/>
      <c r="G102" s="567"/>
      <c r="H102" s="567"/>
      <c r="I102" s="567"/>
      <c r="J102" s="567"/>
      <c r="K102" s="762"/>
      <c r="L102" s="872">
        <f>SUM(L98:L100)</f>
        <v>70138.881325918788</v>
      </c>
      <c r="M102" s="872"/>
      <c r="N102" s="777"/>
    </row>
    <row r="103" spans="1:16" ht="5.0999999999999996" customHeight="1" x14ac:dyDescent="0.2">
      <c r="F103" s="8"/>
      <c r="G103" s="8"/>
    </row>
    <row r="104" spans="1:16" ht="12.75" x14ac:dyDescent="0.2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778"/>
    </row>
    <row r="105" spans="1:16" ht="12.75" x14ac:dyDescent="0.2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778"/>
    </row>
    <row r="106" spans="1:16" ht="12.75" x14ac:dyDescent="0.2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778"/>
    </row>
    <row r="107" spans="1:16" ht="12.75" x14ac:dyDescent="0.2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778"/>
    </row>
    <row r="108" spans="1:16" ht="12.75" x14ac:dyDescent="0.2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778"/>
    </row>
    <row r="109" spans="1:16" ht="12.75" x14ac:dyDescent="0.2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778"/>
    </row>
    <row r="110" spans="1:16" ht="12.75" x14ac:dyDescent="0.2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778"/>
    </row>
    <row r="111" spans="1:16" ht="12.75" x14ac:dyDescent="0.2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778"/>
    </row>
    <row r="112" spans="1:16" ht="12.75" x14ac:dyDescent="0.2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778"/>
    </row>
  </sheetData>
  <mergeCells count="97">
    <mergeCell ref="L101:M101"/>
    <mergeCell ref="L102:M102"/>
    <mergeCell ref="L95:M95"/>
    <mergeCell ref="L97:M97"/>
    <mergeCell ref="L98:M98"/>
    <mergeCell ref="L99:M99"/>
    <mergeCell ref="F100:G100"/>
    <mergeCell ref="L100:M100"/>
    <mergeCell ref="L91:M91"/>
    <mergeCell ref="L92:M92"/>
    <mergeCell ref="L93:M93"/>
    <mergeCell ref="F94:G94"/>
    <mergeCell ref="L94:M94"/>
    <mergeCell ref="L86:M86"/>
    <mergeCell ref="L87:M87"/>
    <mergeCell ref="L88:M88"/>
    <mergeCell ref="F89:G89"/>
    <mergeCell ref="L89:M89"/>
    <mergeCell ref="H80:I80"/>
    <mergeCell ref="L80:M80"/>
    <mergeCell ref="A84:E84"/>
    <mergeCell ref="L84:M84"/>
    <mergeCell ref="F85:G85"/>
    <mergeCell ref="I85:J85"/>
    <mergeCell ref="L85:M85"/>
    <mergeCell ref="F80:G80"/>
    <mergeCell ref="H78:I78"/>
    <mergeCell ref="L78:M78"/>
    <mergeCell ref="H79:I79"/>
    <mergeCell ref="L79:M79"/>
    <mergeCell ref="H76:I76"/>
    <mergeCell ref="L76:M76"/>
    <mergeCell ref="H77:I77"/>
    <mergeCell ref="L77:M77"/>
    <mergeCell ref="H74:I74"/>
    <mergeCell ref="L74:M74"/>
    <mergeCell ref="H75:I75"/>
    <mergeCell ref="L75:M75"/>
    <mergeCell ref="H72:I72"/>
    <mergeCell ref="L72:M72"/>
    <mergeCell ref="H73:I73"/>
    <mergeCell ref="L73:M73"/>
    <mergeCell ref="H70:I70"/>
    <mergeCell ref="L70:M70"/>
    <mergeCell ref="H71:I71"/>
    <mergeCell ref="L71:M71"/>
    <mergeCell ref="H68:I68"/>
    <mergeCell ref="L68:M68"/>
    <mergeCell ref="H69:I69"/>
    <mergeCell ref="L69:M69"/>
    <mergeCell ref="A61:E61"/>
    <mergeCell ref="F61:M61"/>
    <mergeCell ref="A63:E63"/>
    <mergeCell ref="F63:M63"/>
    <mergeCell ref="H67:I67"/>
    <mergeCell ref="L67:M67"/>
    <mergeCell ref="F42:G42"/>
    <mergeCell ref="H42:I42"/>
    <mergeCell ref="J42:K42"/>
    <mergeCell ref="L42:M42"/>
    <mergeCell ref="A59:E59"/>
    <mergeCell ref="F22:G22"/>
    <mergeCell ref="H22:I22"/>
    <mergeCell ref="J22:K22"/>
    <mergeCell ref="L22:M22"/>
    <mergeCell ref="F41:G41"/>
    <mergeCell ref="H41:I41"/>
    <mergeCell ref="J41:K41"/>
    <mergeCell ref="L41:M41"/>
    <mergeCell ref="F16:G16"/>
    <mergeCell ref="F21:G21"/>
    <mergeCell ref="H21:I21"/>
    <mergeCell ref="J21:K21"/>
    <mergeCell ref="L21:M21"/>
    <mergeCell ref="F11:G11"/>
    <mergeCell ref="F12:G12"/>
    <mergeCell ref="F13:G13"/>
    <mergeCell ref="F14:G14"/>
    <mergeCell ref="F15:G15"/>
    <mergeCell ref="F9:G9"/>
    <mergeCell ref="H9:I9"/>
    <mergeCell ref="J9:K9"/>
    <mergeCell ref="L9:M9"/>
    <mergeCell ref="F10:G10"/>
    <mergeCell ref="F5:G5"/>
    <mergeCell ref="H5:I5"/>
    <mergeCell ref="J5:K5"/>
    <mergeCell ref="L5:M5"/>
    <mergeCell ref="F6:G6"/>
    <mergeCell ref="H6:I6"/>
    <mergeCell ref="J6:K6"/>
    <mergeCell ref="L6:M6"/>
    <mergeCell ref="I2:M2"/>
    <mergeCell ref="F4:G4"/>
    <mergeCell ref="H4:I4"/>
    <mergeCell ref="J4:K4"/>
    <mergeCell ref="L4:M4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&amp;L&amp;"Arial,Fett"&amp;10&amp;K00-042Vergabemodelle&amp;R&amp;"Arial,Fett"&amp;10&amp;K00-044Vertrag Generalplanung - Anhang 3</oddHeader>
    <oddFooter>&amp;L&amp;"Arial,Standard"&amp;9&amp;K01+011Seite &amp;P von &amp;N                              Juni 2018&amp;R&amp;"Arial,Fett"&amp;9&amp;K01+011Leitfaden Vergabe technische Beratung &amp; Planung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1">
    <tabColor theme="0" tint="-0.34998626667073579"/>
  </sheetPr>
  <dimension ref="A1:N104"/>
  <sheetViews>
    <sheetView showGridLines="0" tabSelected="1" view="pageLayout" topLeftCell="A43" zoomScale="70" zoomScaleNormal="85" zoomScaleSheetLayoutView="115" zoomScalePageLayoutView="7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5.7109375" style="1" customWidth="1"/>
    <col min="13" max="16384" width="11.5703125" style="1"/>
  </cols>
  <sheetData>
    <row r="1" spans="1:11" ht="5.0999999999999996" customHeight="1" x14ac:dyDescent="0.2"/>
    <row r="2" spans="1:11" s="54" customFormat="1" ht="35.1" customHeight="1" x14ac:dyDescent="0.2">
      <c r="C2" s="13"/>
      <c r="D2" s="103"/>
      <c r="F2" s="820" t="s">
        <v>339</v>
      </c>
      <c r="G2" s="820"/>
      <c r="H2" s="820"/>
      <c r="I2" s="820"/>
      <c r="K2" s="62"/>
    </row>
    <row r="3" spans="1:11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K5" s="45"/>
    </row>
    <row r="6" spans="1:11" s="11" customFormat="1" ht="6" customHeight="1" x14ac:dyDescent="0.25">
      <c r="F6" s="98"/>
      <c r="I6" s="2"/>
      <c r="K6" s="2"/>
    </row>
    <row r="7" spans="1:11" s="12" customFormat="1" ht="12.95" customHeight="1" x14ac:dyDescent="0.2">
      <c r="A7" s="821">
        <v>1</v>
      </c>
      <c r="B7" s="821"/>
      <c r="C7" s="106"/>
      <c r="D7" s="107" t="s">
        <v>0</v>
      </c>
      <c r="E7" s="160">
        <f>F7/F34</f>
        <v>2.1739888766278866E-3</v>
      </c>
      <c r="F7" s="179">
        <f>_1</f>
        <v>70000</v>
      </c>
      <c r="G7" s="104"/>
      <c r="H7" s="135">
        <v>0</v>
      </c>
      <c r="I7" s="17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G8" s="1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160">
        <f>F9/F34</f>
        <v>0.27951285556644256</v>
      </c>
      <c r="F9" s="179">
        <f>_2</f>
        <v>9000000</v>
      </c>
      <c r="G9" s="104"/>
      <c r="H9" s="135">
        <v>0</v>
      </c>
      <c r="I9" s="179">
        <f>F9*H9</f>
        <v>0</v>
      </c>
      <c r="K9" s="50"/>
    </row>
    <row r="10" spans="1:11" ht="2.25" customHeight="1" x14ac:dyDescent="0.2">
      <c r="B10" s="4"/>
      <c r="C10" s="6"/>
      <c r="D10" s="1"/>
      <c r="E10" s="161"/>
      <c r="F10" s="174"/>
      <c r="G10" s="1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160">
        <f>F11/F34</f>
        <v>0.25156157000979829</v>
      </c>
      <c r="F11" s="389">
        <f>_3</f>
        <v>8100000</v>
      </c>
      <c r="G11" s="104"/>
      <c r="H11" s="633"/>
      <c r="I11" s="158"/>
      <c r="K11" s="50"/>
    </row>
    <row r="12" spans="1:11" ht="12.95" customHeight="1" x14ac:dyDescent="0.2">
      <c r="A12" s="840">
        <v>3</v>
      </c>
      <c r="B12" s="840"/>
      <c r="C12" s="109" t="s">
        <v>17</v>
      </c>
      <c r="D12" s="110" t="s">
        <v>18</v>
      </c>
      <c r="E12" s="162"/>
      <c r="F12" s="176">
        <f>_3Sanitär</f>
        <v>900000</v>
      </c>
      <c r="G12" s="104"/>
      <c r="H12" s="136">
        <v>1</v>
      </c>
      <c r="I12" s="180">
        <f t="shared" ref="I12:I20" si="0">F12*H12</f>
        <v>900000</v>
      </c>
      <c r="K12" s="50"/>
    </row>
    <row r="13" spans="1:11" ht="12.95" customHeight="1" x14ac:dyDescent="0.2">
      <c r="A13" s="842">
        <v>3</v>
      </c>
      <c r="B13" s="842"/>
      <c r="C13" s="111" t="s">
        <v>19</v>
      </c>
      <c r="D13" s="112" t="s">
        <v>26</v>
      </c>
      <c r="E13" s="163"/>
      <c r="F13" s="177">
        <f>_3Heizung</f>
        <v>1000000</v>
      </c>
      <c r="G13" s="104"/>
      <c r="H13" s="136">
        <v>1</v>
      </c>
      <c r="I13" s="235">
        <f t="shared" si="0"/>
        <v>1000000</v>
      </c>
      <c r="K13" s="50"/>
    </row>
    <row r="14" spans="1:11" ht="12.95" customHeight="1" x14ac:dyDescent="0.2">
      <c r="A14" s="842">
        <v>3</v>
      </c>
      <c r="B14" s="842"/>
      <c r="C14" s="111" t="s">
        <v>20</v>
      </c>
      <c r="D14" s="112" t="s">
        <v>27</v>
      </c>
      <c r="E14" s="163"/>
      <c r="F14" s="178">
        <f>_3Lüftung</f>
        <v>1000000</v>
      </c>
      <c r="G14" s="104"/>
      <c r="H14" s="136">
        <v>1</v>
      </c>
      <c r="I14" s="235">
        <f t="shared" si="0"/>
        <v>1000000</v>
      </c>
      <c r="K14" s="50"/>
    </row>
    <row r="15" spans="1:11" ht="12.95" customHeight="1" x14ac:dyDescent="0.2">
      <c r="A15" s="842">
        <v>3</v>
      </c>
      <c r="B15" s="842"/>
      <c r="C15" s="111" t="s">
        <v>21</v>
      </c>
      <c r="D15" s="112" t="s">
        <v>28</v>
      </c>
      <c r="E15" s="163"/>
      <c r="F15" s="178">
        <f>_3Elektro</f>
        <v>1500000</v>
      </c>
      <c r="G15" s="104"/>
      <c r="H15" s="136">
        <v>0</v>
      </c>
      <c r="I15" s="235">
        <f t="shared" si="0"/>
        <v>0</v>
      </c>
      <c r="K15" s="50"/>
    </row>
    <row r="16" spans="1:11" ht="12.95" customHeight="1" x14ac:dyDescent="0.2">
      <c r="A16" s="842">
        <v>3</v>
      </c>
      <c r="B16" s="842"/>
      <c r="C16" s="111" t="s">
        <v>22</v>
      </c>
      <c r="D16" s="112" t="s">
        <v>31</v>
      </c>
      <c r="E16" s="163"/>
      <c r="F16" s="178">
        <f>_3IT</f>
        <v>600000</v>
      </c>
      <c r="G16" s="104"/>
      <c r="H16" s="136">
        <v>0</v>
      </c>
      <c r="I16" s="235">
        <f t="shared" si="0"/>
        <v>0</v>
      </c>
      <c r="K16" s="50"/>
    </row>
    <row r="17" spans="1:11" ht="12.95" customHeight="1" x14ac:dyDescent="0.2">
      <c r="A17" s="842">
        <v>3</v>
      </c>
      <c r="B17" s="842"/>
      <c r="C17" s="111" t="s">
        <v>23</v>
      </c>
      <c r="D17" s="112" t="s">
        <v>29</v>
      </c>
      <c r="E17" s="163"/>
      <c r="F17" s="178">
        <f>_3Föte</f>
        <v>1500000</v>
      </c>
      <c r="G17" s="104"/>
      <c r="H17" s="136">
        <v>0</v>
      </c>
      <c r="I17" s="235">
        <f t="shared" si="0"/>
        <v>0</v>
      </c>
      <c r="K17" s="50"/>
    </row>
    <row r="18" spans="1:11" ht="12.95" customHeight="1" x14ac:dyDescent="0.2">
      <c r="A18" s="842">
        <v>3</v>
      </c>
      <c r="B18" s="842"/>
      <c r="C18" s="111" t="s">
        <v>24</v>
      </c>
      <c r="D18" s="112" t="s">
        <v>30</v>
      </c>
      <c r="E18" s="163"/>
      <c r="F18" s="178">
        <f>_3Nutzer</f>
        <v>300000</v>
      </c>
      <c r="G18" s="104"/>
      <c r="H18" s="136">
        <v>0</v>
      </c>
      <c r="I18" s="235">
        <f t="shared" si="0"/>
        <v>0</v>
      </c>
      <c r="K18" s="50"/>
    </row>
    <row r="19" spans="1:11" ht="12.95" customHeight="1" x14ac:dyDescent="0.2">
      <c r="A19" s="687">
        <v>3</v>
      </c>
      <c r="B19" s="687"/>
      <c r="C19" s="111" t="s">
        <v>317</v>
      </c>
      <c r="D19" s="112" t="s">
        <v>316</v>
      </c>
      <c r="E19" s="163"/>
      <c r="F19" s="178">
        <f>Projektkennwerte!M49</f>
        <v>1000000</v>
      </c>
      <c r="G19" s="104"/>
      <c r="H19" s="136">
        <v>0</v>
      </c>
      <c r="I19" s="689">
        <f t="shared" si="0"/>
        <v>0</v>
      </c>
      <c r="K19" s="50"/>
    </row>
    <row r="20" spans="1:11" ht="12.95" customHeight="1" x14ac:dyDescent="0.2">
      <c r="A20" s="842">
        <v>3</v>
      </c>
      <c r="B20" s="842"/>
      <c r="C20" s="111" t="s">
        <v>25</v>
      </c>
      <c r="D20" s="112" t="s">
        <v>8</v>
      </c>
      <c r="E20" s="163"/>
      <c r="F20" s="178">
        <f>_3GA</f>
        <v>300000</v>
      </c>
      <c r="G20" s="104"/>
      <c r="H20" s="136">
        <v>0</v>
      </c>
      <c r="I20" s="236">
        <f t="shared" si="0"/>
        <v>0</v>
      </c>
      <c r="K20" s="50"/>
    </row>
    <row r="21" spans="1:11" ht="2.25" customHeight="1" x14ac:dyDescent="0.2">
      <c r="B21" s="4"/>
      <c r="C21" s="6"/>
      <c r="D21" s="1"/>
      <c r="E21" s="161"/>
      <c r="F21" s="174"/>
      <c r="G21" s="1"/>
      <c r="H21" s="631"/>
      <c r="I21" s="174"/>
      <c r="K21" s="63"/>
    </row>
    <row r="22" spans="1:11" s="11" customFormat="1" ht="12.75" customHeight="1" x14ac:dyDescent="0.2">
      <c r="A22" s="821">
        <v>4</v>
      </c>
      <c r="B22" s="821"/>
      <c r="C22" s="106"/>
      <c r="D22" s="107" t="s">
        <v>2</v>
      </c>
      <c r="E22" s="160">
        <f>F22/F34</f>
        <v>0.20187039568687518</v>
      </c>
      <c r="F22" s="179">
        <f>_4</f>
        <v>6500000</v>
      </c>
      <c r="G22" s="104"/>
      <c r="H22" s="135">
        <v>0</v>
      </c>
      <c r="I22" s="179">
        <f>F22*H22</f>
        <v>0</v>
      </c>
      <c r="K22" s="50"/>
    </row>
    <row r="23" spans="1:11" ht="2.25" customHeight="1" x14ac:dyDescent="0.2">
      <c r="B23" s="4"/>
      <c r="C23" s="6"/>
      <c r="D23" s="1"/>
      <c r="E23" s="161"/>
      <c r="F23" s="174"/>
      <c r="G23" s="1"/>
      <c r="H23" s="631"/>
      <c r="I23" s="174"/>
      <c r="K23" s="63"/>
    </row>
    <row r="24" spans="1:11" s="12" customFormat="1" ht="12.95" customHeight="1" x14ac:dyDescent="0.2">
      <c r="A24" s="821">
        <v>5</v>
      </c>
      <c r="B24" s="821"/>
      <c r="C24" s="106"/>
      <c r="D24" s="107" t="s">
        <v>9</v>
      </c>
      <c r="E24" s="160">
        <f>F24/F34</f>
        <v>5.1244023520514471E-2</v>
      </c>
      <c r="F24" s="389">
        <f>_5</f>
        <v>1650000</v>
      </c>
      <c r="G24" s="104"/>
      <c r="H24" s="135">
        <v>0</v>
      </c>
      <c r="I24" s="389">
        <f>F24*H24</f>
        <v>0</v>
      </c>
      <c r="K24" s="50"/>
    </row>
    <row r="25" spans="1:11" ht="2.25" customHeight="1" x14ac:dyDescent="0.2">
      <c r="B25" s="4"/>
      <c r="C25" s="6"/>
      <c r="D25" s="1"/>
      <c r="E25" s="161"/>
      <c r="F25" s="174"/>
      <c r="G25" s="1"/>
      <c r="H25" s="631"/>
      <c r="I25" s="174"/>
      <c r="K25" s="63"/>
    </row>
    <row r="26" spans="1:11" s="11" customFormat="1" ht="12.95" customHeight="1" x14ac:dyDescent="0.2">
      <c r="A26" s="821">
        <v>6</v>
      </c>
      <c r="B26" s="821"/>
      <c r="C26" s="106"/>
      <c r="D26" s="107" t="s">
        <v>3</v>
      </c>
      <c r="E26" s="160">
        <f>F26/F34</f>
        <v>1.5528491975913475E-2</v>
      </c>
      <c r="F26" s="179">
        <f>_6</f>
        <v>500000</v>
      </c>
      <c r="G26" s="104"/>
      <c r="H26" s="135">
        <v>0</v>
      </c>
      <c r="I26" s="179">
        <f>F26*H26</f>
        <v>0</v>
      </c>
      <c r="K26" s="50"/>
    </row>
    <row r="27" spans="1:11" ht="2.25" customHeight="1" x14ac:dyDescent="0.2">
      <c r="B27" s="4"/>
      <c r="C27" s="6"/>
      <c r="D27" s="1"/>
      <c r="E27" s="161"/>
      <c r="F27" s="174"/>
      <c r="G27" s="1"/>
      <c r="H27" s="631"/>
      <c r="I27" s="174"/>
      <c r="K27" s="63"/>
    </row>
    <row r="28" spans="1:11" s="12" customFormat="1" ht="12.95" customHeight="1" x14ac:dyDescent="0.2">
      <c r="A28" s="821">
        <v>7</v>
      </c>
      <c r="B28" s="821"/>
      <c r="C28" s="106"/>
      <c r="D28" s="107" t="s">
        <v>110</v>
      </c>
      <c r="E28" s="160">
        <f>F28/F34</f>
        <v>0.14729944861863917</v>
      </c>
      <c r="F28" s="179">
        <f>_7</f>
        <v>4742876.7985686567</v>
      </c>
      <c r="G28" s="104"/>
      <c r="H28" s="135">
        <v>0</v>
      </c>
      <c r="I28" s="179">
        <f>F28*H28</f>
        <v>0</v>
      </c>
      <c r="K28" s="50"/>
    </row>
    <row r="29" spans="1:11" ht="2.25" customHeight="1" x14ac:dyDescent="0.2">
      <c r="B29" s="4"/>
      <c r="C29" s="6"/>
      <c r="D29" s="1"/>
      <c r="E29" s="161"/>
      <c r="F29" s="174"/>
      <c r="G29" s="1"/>
      <c r="H29" s="631"/>
      <c r="I29" s="174"/>
      <c r="K29" s="63"/>
    </row>
    <row r="30" spans="1:11" s="12" customFormat="1" ht="12.95" customHeight="1" x14ac:dyDescent="0.2">
      <c r="A30" s="821">
        <v>8</v>
      </c>
      <c r="B30" s="821"/>
      <c r="C30" s="106"/>
      <c r="D30" s="107" t="s">
        <v>105</v>
      </c>
      <c r="E30" s="160">
        <f>F30/F34</f>
        <v>1.1180514222657702E-3</v>
      </c>
      <c r="F30" s="179">
        <f>_8</f>
        <v>36000</v>
      </c>
      <c r="G30" s="104"/>
      <c r="H30" s="135">
        <v>0</v>
      </c>
      <c r="I30" s="179">
        <f>F30*H30</f>
        <v>0</v>
      </c>
      <c r="K30" s="50"/>
    </row>
    <row r="31" spans="1:11" ht="2.25" customHeight="1" x14ac:dyDescent="0.2">
      <c r="B31" s="4"/>
      <c r="C31" s="6"/>
      <c r="D31" s="1"/>
      <c r="E31" s="161"/>
      <c r="F31" s="174"/>
      <c r="G31" s="1"/>
      <c r="H31" s="631"/>
      <c r="I31" s="174"/>
      <c r="K31" s="63"/>
    </row>
    <row r="32" spans="1:11" s="12" customFormat="1" ht="12.95" customHeight="1" x14ac:dyDescent="0.2">
      <c r="A32" s="821">
        <v>9</v>
      </c>
      <c r="B32" s="821"/>
      <c r="C32" s="106"/>
      <c r="D32" s="107" t="s">
        <v>10</v>
      </c>
      <c r="E32" s="160">
        <f>F32/F34</f>
        <v>4.9691174322923123E-2</v>
      </c>
      <c r="F32" s="179">
        <f>_9</f>
        <v>1600000</v>
      </c>
      <c r="G32" s="104"/>
      <c r="H32" s="135">
        <v>0.01</v>
      </c>
      <c r="I32" s="179">
        <f>F32*H32</f>
        <v>16000</v>
      </c>
      <c r="K32" s="50"/>
    </row>
    <row r="33" spans="1:13" ht="12" customHeight="1" x14ac:dyDescent="0.2">
      <c r="B33" s="17"/>
      <c r="C33" s="5"/>
      <c r="D33" s="1"/>
      <c r="E33" s="47"/>
      <c r="F33" s="1"/>
      <c r="G33" s="1"/>
      <c r="H33" s="138"/>
      <c r="I33" s="1"/>
      <c r="K33" s="1"/>
    </row>
    <row r="34" spans="1:13" ht="12.95" customHeight="1" x14ac:dyDescent="0.25">
      <c r="A34" s="144" t="s">
        <v>12</v>
      </c>
      <c r="B34" s="145"/>
      <c r="C34" s="145"/>
      <c r="D34" s="145"/>
      <c r="E34" s="102">
        <f>SUM(E7:E32)</f>
        <v>0.99999999999999989</v>
      </c>
      <c r="F34" s="118">
        <f>SUM(F7+F9+F11+F22+F24+F26+F28+F30+F32)</f>
        <v>32198876.798568659</v>
      </c>
      <c r="G34" s="92"/>
      <c r="H34" s="216"/>
      <c r="I34" s="30"/>
      <c r="K34" s="30"/>
    </row>
    <row r="35" spans="1:13" ht="4.5" customHeight="1" x14ac:dyDescent="0.2">
      <c r="B35" s="13"/>
      <c r="C35" s="13"/>
      <c r="D35" s="14"/>
      <c r="E35" s="1"/>
      <c r="F35" s="47"/>
      <c r="G35" s="14"/>
      <c r="H35" s="19"/>
      <c r="I35" s="15"/>
      <c r="K35" s="18"/>
    </row>
    <row r="36" spans="1:13" s="20" customFormat="1" ht="12.95" customHeight="1" x14ac:dyDescent="0.3">
      <c r="A36" s="461" t="s">
        <v>32</v>
      </c>
      <c r="B36" s="462"/>
      <c r="C36" s="462"/>
      <c r="D36" s="462"/>
      <c r="E36" s="453"/>
      <c r="F36" s="453"/>
      <c r="G36" s="453"/>
      <c r="H36" s="338"/>
      <c r="I36" s="146">
        <f>SUM(I7:I32)</f>
        <v>2916000</v>
      </c>
      <c r="J36" s="92"/>
      <c r="K36" s="64"/>
    </row>
    <row r="37" spans="1:13" s="21" customFormat="1" ht="13.5" customHeight="1" x14ac:dyDescent="0.25">
      <c r="B37" s="23"/>
      <c r="C37" s="23"/>
      <c r="D37" s="22"/>
      <c r="E37" s="46"/>
      <c r="F37" s="46"/>
      <c r="G37" s="22"/>
      <c r="H37" s="46"/>
      <c r="I37" s="192"/>
      <c r="J37" s="192"/>
      <c r="K37" s="29"/>
    </row>
    <row r="38" spans="1:13" ht="12.75" customHeight="1" x14ac:dyDescent="0.2">
      <c r="A38" s="340" t="s">
        <v>83</v>
      </c>
      <c r="B38" s="341"/>
      <c r="C38" s="341"/>
      <c r="D38" s="341"/>
      <c r="E38" s="341"/>
      <c r="F38" s="341"/>
      <c r="G38" s="341"/>
      <c r="H38" s="341"/>
      <c r="I38" s="359"/>
      <c r="K38" s="18"/>
    </row>
    <row r="39" spans="1:13" ht="4.5" customHeight="1" x14ac:dyDescent="0.2">
      <c r="A39" s="195"/>
      <c r="B39" s="196"/>
      <c r="C39" s="196"/>
      <c r="D39" s="196"/>
      <c r="E39" s="196"/>
      <c r="F39" s="196"/>
      <c r="G39" s="196"/>
      <c r="H39" s="196"/>
      <c r="I39" s="220"/>
      <c r="J39" s="59"/>
      <c r="K39" s="18"/>
    </row>
    <row r="40" spans="1:13" ht="12.75" customHeight="1" x14ac:dyDescent="0.2">
      <c r="A40" s="25"/>
      <c r="B40" s="25"/>
      <c r="C40" s="25"/>
      <c r="D40" s="1"/>
      <c r="E40" s="1"/>
      <c r="F40" s="197" t="s">
        <v>5</v>
      </c>
      <c r="H40" s="198" t="s">
        <v>4</v>
      </c>
      <c r="I40" s="309"/>
      <c r="K40" s="58"/>
    </row>
    <row r="41" spans="1:13" ht="12.75" customHeight="1" x14ac:dyDescent="0.2">
      <c r="B41" s="26" t="s">
        <v>46</v>
      </c>
      <c r="C41" s="60"/>
      <c r="D41" s="51"/>
      <c r="E41" s="51"/>
      <c r="F41" s="151">
        <v>20</v>
      </c>
      <c r="H41" s="199" t="s">
        <v>58</v>
      </c>
      <c r="I41" s="309"/>
      <c r="K41" s="58"/>
    </row>
    <row r="42" spans="1:13" ht="12.75" customHeight="1" x14ac:dyDescent="0.2">
      <c r="B42" s="27" t="s">
        <v>47</v>
      </c>
      <c r="C42" s="61"/>
      <c r="D42" s="52"/>
      <c r="E42" s="52"/>
      <c r="F42" s="151">
        <v>2</v>
      </c>
      <c r="G42" s="200"/>
      <c r="H42" s="200" t="s">
        <v>6</v>
      </c>
      <c r="I42" s="309"/>
      <c r="K42" s="58"/>
    </row>
    <row r="43" spans="1:13" ht="12.75" customHeight="1" x14ac:dyDescent="0.2">
      <c r="B43" s="27" t="s">
        <v>48</v>
      </c>
      <c r="C43" s="61"/>
      <c r="D43" s="52"/>
      <c r="E43" s="52"/>
      <c r="F43" s="151">
        <v>1</v>
      </c>
      <c r="G43" s="200"/>
      <c r="H43" s="200" t="s">
        <v>6</v>
      </c>
      <c r="I43" s="309"/>
      <c r="K43" s="58"/>
    </row>
    <row r="44" spans="1:13" ht="12.75" customHeight="1" x14ac:dyDescent="0.2">
      <c r="B44" s="27" t="s">
        <v>49</v>
      </c>
      <c r="C44" s="52"/>
      <c r="D44" s="52"/>
      <c r="E44" s="52"/>
      <c r="F44" s="151">
        <v>2</v>
      </c>
      <c r="G44" s="200"/>
      <c r="H44" s="200" t="s">
        <v>6</v>
      </c>
      <c r="I44" s="309"/>
      <c r="K44" s="58"/>
    </row>
    <row r="45" spans="1:13" ht="4.5" customHeight="1" x14ac:dyDescent="0.2">
      <c r="A45" s="40"/>
      <c r="B45" s="40"/>
      <c r="C45" s="40"/>
      <c r="D45" s="1"/>
      <c r="E45" s="1"/>
      <c r="F45" s="201"/>
      <c r="H45" s="201"/>
      <c r="I45" s="309"/>
      <c r="K45" s="58"/>
    </row>
    <row r="46" spans="1:13" ht="12.75" customHeight="1" x14ac:dyDescent="0.25">
      <c r="B46" s="27" t="s">
        <v>141</v>
      </c>
      <c r="C46" s="61"/>
      <c r="D46" s="52"/>
      <c r="E46" s="52"/>
      <c r="F46" s="563"/>
      <c r="G46" s="329"/>
      <c r="H46" s="200" t="s">
        <v>57</v>
      </c>
      <c r="I46" s="309"/>
      <c r="J46" s="58"/>
      <c r="K46" s="554"/>
      <c r="L46" s="554"/>
      <c r="M46" s="554"/>
    </row>
    <row r="47" spans="1:13" ht="12.75" customHeight="1" x14ac:dyDescent="0.25">
      <c r="B47" s="27" t="s">
        <v>185</v>
      </c>
      <c r="C47" s="61"/>
      <c r="D47" s="52"/>
      <c r="E47" s="52"/>
      <c r="F47" s="563"/>
      <c r="G47" s="329"/>
      <c r="H47" s="200" t="s">
        <v>57</v>
      </c>
      <c r="I47" s="309"/>
      <c r="J47" s="58"/>
      <c r="K47" s="554"/>
      <c r="L47" s="554"/>
      <c r="M47" s="554"/>
    </row>
    <row r="48" spans="1:13" ht="12.75" customHeight="1" x14ac:dyDescent="0.25">
      <c r="B48" s="27" t="s">
        <v>143</v>
      </c>
      <c r="C48" s="61"/>
      <c r="D48" s="52"/>
      <c r="E48" s="52"/>
      <c r="F48" s="563"/>
      <c r="G48" s="329"/>
      <c r="H48" s="200" t="s">
        <v>57</v>
      </c>
      <c r="I48" s="309"/>
      <c r="J48" s="58"/>
      <c r="K48" s="554"/>
      <c r="L48" s="554"/>
      <c r="M48" s="554"/>
    </row>
    <row r="49" spans="1:13" ht="12.75" customHeight="1" x14ac:dyDescent="0.25">
      <c r="B49" s="27" t="s">
        <v>144</v>
      </c>
      <c r="C49" s="61"/>
      <c r="D49" s="52"/>
      <c r="E49" s="52"/>
      <c r="F49" s="563"/>
      <c r="G49" s="329"/>
      <c r="H49" s="200" t="s">
        <v>57</v>
      </c>
      <c r="I49" s="309"/>
      <c r="J49" s="58"/>
      <c r="K49" s="554"/>
      <c r="L49" s="554"/>
      <c r="M49" s="554"/>
    </row>
    <row r="50" spans="1:13" ht="12.75" customHeight="1" x14ac:dyDescent="0.25">
      <c r="B50" s="27" t="s">
        <v>181</v>
      </c>
      <c r="C50" s="61"/>
      <c r="D50" s="52"/>
      <c r="E50" s="52"/>
      <c r="F50" s="563"/>
      <c r="G50" s="329"/>
      <c r="H50" s="200" t="s">
        <v>163</v>
      </c>
      <c r="I50" s="309"/>
      <c r="J50" s="58"/>
      <c r="K50" s="554"/>
      <c r="L50" s="554"/>
      <c r="M50" s="554"/>
    </row>
    <row r="51" spans="1:13" ht="12.75" customHeight="1" x14ac:dyDescent="0.25">
      <c r="B51" s="27" t="s">
        <v>183</v>
      </c>
      <c r="C51" s="61"/>
      <c r="D51" s="52"/>
      <c r="E51" s="52"/>
      <c r="F51" s="563"/>
      <c r="G51" s="329"/>
      <c r="H51" s="200" t="s">
        <v>160</v>
      </c>
      <c r="I51" s="309"/>
      <c r="J51" s="58"/>
      <c r="K51" s="554"/>
      <c r="L51" s="554"/>
      <c r="M51" s="554"/>
    </row>
    <row r="52" spans="1:13" ht="12.75" customHeight="1" x14ac:dyDescent="0.25">
      <c r="B52" s="27" t="s">
        <v>182</v>
      </c>
      <c r="C52" s="61"/>
      <c r="D52" s="52"/>
      <c r="E52" s="52"/>
      <c r="F52" s="563"/>
      <c r="G52" s="329"/>
      <c r="H52" s="200" t="s">
        <v>6</v>
      </c>
      <c r="I52" s="309"/>
      <c r="J52" s="1"/>
      <c r="K52" s="554"/>
    </row>
    <row r="53" spans="1:13" ht="12.75" customHeight="1" x14ac:dyDescent="0.25">
      <c r="B53" s="27" t="s">
        <v>186</v>
      </c>
      <c r="C53" s="61"/>
      <c r="D53" s="52"/>
      <c r="E53" s="52"/>
      <c r="F53" s="563"/>
      <c r="G53" s="329"/>
      <c r="H53" s="200" t="s">
        <v>57</v>
      </c>
      <c r="I53" s="309"/>
      <c r="J53" s="1"/>
      <c r="K53" s="554"/>
    </row>
    <row r="54" spans="1:13" ht="12.75" customHeight="1" x14ac:dyDescent="0.25">
      <c r="B54" s="27" t="s">
        <v>187</v>
      </c>
      <c r="C54" s="61"/>
      <c r="D54" s="52"/>
      <c r="E54" s="52"/>
      <c r="F54" s="563"/>
      <c r="G54" s="329"/>
      <c r="H54" s="200" t="s">
        <v>57</v>
      </c>
      <c r="I54" s="309"/>
      <c r="J54" s="1"/>
      <c r="K54" s="554"/>
    </row>
    <row r="55" spans="1:13" ht="4.5" customHeight="1" x14ac:dyDescent="0.2">
      <c r="A55" s="40"/>
      <c r="B55" s="40"/>
      <c r="C55" s="1"/>
      <c r="D55" s="203"/>
      <c r="E55" s="203"/>
      <c r="F55" s="203"/>
      <c r="H55" s="203"/>
      <c r="I55" s="309"/>
      <c r="K55" s="1"/>
    </row>
    <row r="56" spans="1:13" ht="12.75" customHeight="1" x14ac:dyDescent="0.2">
      <c r="B56" s="25" t="s">
        <v>45</v>
      </c>
      <c r="C56" s="1"/>
      <c r="D56" s="202"/>
      <c r="E56" s="203"/>
      <c r="F56" s="222">
        <f>SUM(F41:F54)</f>
        <v>25</v>
      </c>
      <c r="H56" s="203"/>
      <c r="I56" s="309"/>
      <c r="K56" s="1"/>
    </row>
    <row r="57" spans="1:13" ht="12.95" customHeight="1" x14ac:dyDescent="0.2">
      <c r="B57" s="40"/>
      <c r="C57" s="1"/>
      <c r="D57" s="203"/>
      <c r="E57" s="203"/>
      <c r="F57" s="203"/>
      <c r="H57" s="203"/>
      <c r="I57" s="309"/>
      <c r="K57" s="1"/>
    </row>
    <row r="58" spans="1:13" ht="12.95" customHeight="1" x14ac:dyDescent="0.2">
      <c r="A58" s="476" t="s">
        <v>171</v>
      </c>
      <c r="B58" s="340"/>
      <c r="C58" s="341"/>
      <c r="D58" s="341"/>
      <c r="E58" s="341"/>
      <c r="F58" s="341"/>
      <c r="G58" s="343"/>
      <c r="H58" s="341"/>
      <c r="I58" s="358"/>
      <c r="K58" s="18"/>
    </row>
    <row r="59" spans="1:13" ht="4.5" customHeight="1" x14ac:dyDescent="0.2">
      <c r="A59" s="205"/>
      <c r="B59" s="205"/>
      <c r="C59" s="205"/>
      <c r="D59" s="205"/>
      <c r="F59" s="8"/>
      <c r="I59" s="1"/>
      <c r="K59" s="18"/>
    </row>
    <row r="60" spans="1:13" ht="14.25" customHeight="1" x14ac:dyDescent="0.2">
      <c r="A60" s="206" t="s">
        <v>11</v>
      </c>
      <c r="B60" s="206"/>
      <c r="C60" s="1"/>
      <c r="F60" s="230">
        <f>I36</f>
        <v>2916000</v>
      </c>
      <c r="I60" s="1"/>
      <c r="K60" s="18"/>
    </row>
    <row r="61" spans="1:13" s="258" customFormat="1" ht="14.25" customHeight="1" x14ac:dyDescent="0.3">
      <c r="A61" s="257" t="s">
        <v>78</v>
      </c>
      <c r="B61" s="257"/>
      <c r="C61" s="257"/>
      <c r="F61" s="260">
        <f>0.03*F56+0.73</f>
        <v>1.48</v>
      </c>
      <c r="H61" s="261"/>
      <c r="I61" s="446"/>
      <c r="K61" s="18"/>
    </row>
    <row r="62" spans="1:13" ht="14.25" customHeight="1" x14ac:dyDescent="0.25">
      <c r="A62" s="28" t="s">
        <v>81</v>
      </c>
      <c r="B62" s="28"/>
      <c r="C62" s="28"/>
      <c r="D62" s="1"/>
      <c r="E62" s="1"/>
      <c r="F62" s="251">
        <f>ROUND(IF(F60&lt;2000000,202*F60^(-0.2248)*F61/100,(37.8*F60^(-0.109)*F61/100)),4)</f>
        <v>0.1104</v>
      </c>
      <c r="I62" s="473"/>
      <c r="K62" s="18"/>
    </row>
    <row r="63" spans="1:13" s="258" customFormat="1" ht="14.25" customHeight="1" x14ac:dyDescent="0.3">
      <c r="A63" s="257" t="s">
        <v>93</v>
      </c>
      <c r="B63" s="257"/>
      <c r="C63" s="257"/>
      <c r="F63" s="439">
        <f>202*F60^(-0.2248)*F61/100</f>
        <v>0.1052758727410316</v>
      </c>
      <c r="G63" s="1" t="str">
        <f>IF(F60&lt;2000000,"(PL + ÖBA)","")</f>
        <v/>
      </c>
      <c r="I63" s="446"/>
      <c r="K63" s="18"/>
    </row>
    <row r="64" spans="1:13" s="258" customFormat="1" ht="14.25" customHeight="1" x14ac:dyDescent="0.3">
      <c r="A64" s="257" t="s">
        <v>94</v>
      </c>
      <c r="B64" s="257"/>
      <c r="C64" s="257"/>
      <c r="D64" s="257"/>
      <c r="F64" s="439">
        <f>37.8*F60^(-0.109)*F61/100</f>
        <v>0.11043117053952339</v>
      </c>
      <c r="G64" s="253" t="str">
        <f>IF(F60&gt;1999999.99,"(PL + ÖBA)","")</f>
        <v>(PL + ÖBA)</v>
      </c>
      <c r="I64" s="446"/>
      <c r="K64" s="18"/>
    </row>
    <row r="65" spans="1:13" ht="14.25" customHeight="1" x14ac:dyDescent="0.3">
      <c r="A65" s="311" t="s">
        <v>214</v>
      </c>
      <c r="B65" s="25"/>
      <c r="C65" s="25"/>
      <c r="D65" s="312"/>
      <c r="E65" s="208"/>
      <c r="F65" s="323">
        <f>ROUND(F60*F62,2)</f>
        <v>321926.40000000002</v>
      </c>
      <c r="G65" s="551" t="s">
        <v>174</v>
      </c>
      <c r="H65" s="1"/>
      <c r="I65" s="1"/>
      <c r="J65" s="15"/>
      <c r="K65" s="18"/>
    </row>
    <row r="66" spans="1:13" ht="15" customHeight="1" x14ac:dyDescent="0.2">
      <c r="A66" s="311"/>
      <c r="B66" s="25"/>
      <c r="C66" s="25"/>
      <c r="D66" s="312"/>
      <c r="E66" s="208"/>
      <c r="F66" s="326"/>
      <c r="G66" s="209"/>
      <c r="H66" s="209"/>
      <c r="I66" s="1"/>
      <c r="K66" s="18"/>
    </row>
    <row r="67" spans="1:13" ht="12.95" customHeight="1" x14ac:dyDescent="0.2">
      <c r="A67" s="498" t="s">
        <v>170</v>
      </c>
      <c r="B67" s="351"/>
      <c r="C67" s="351"/>
      <c r="D67" s="352"/>
      <c r="E67" s="352"/>
      <c r="F67" s="353"/>
      <c r="G67" s="343"/>
      <c r="H67" s="353"/>
      <c r="I67" s="355"/>
      <c r="L67" s="708"/>
    </row>
    <row r="68" spans="1:13" ht="4.5" customHeight="1" x14ac:dyDescent="0.2">
      <c r="A68" s="325"/>
      <c r="B68" s="40"/>
      <c r="C68" s="40"/>
      <c r="D68" s="208"/>
      <c r="E68" s="208"/>
      <c r="F68" s="209"/>
      <c r="G68" s="42"/>
      <c r="H68" s="209"/>
      <c r="I68" s="41"/>
      <c r="J68" s="59"/>
      <c r="L68" s="708"/>
    </row>
    <row r="69" spans="1:13" ht="12.75" customHeight="1" x14ac:dyDescent="0.2">
      <c r="A69" s="210" t="s">
        <v>53</v>
      </c>
      <c r="B69" s="210"/>
      <c r="C69" s="211"/>
      <c r="D69" s="1"/>
      <c r="E69" s="287">
        <v>0.02</v>
      </c>
      <c r="F69" s="243">
        <v>0.02</v>
      </c>
      <c r="H69" s="212">
        <v>1</v>
      </c>
      <c r="I69" s="621">
        <f>IF($F$60=0,"-",$F$65*F69)</f>
        <v>6438.5280000000002</v>
      </c>
      <c r="L69" s="710"/>
    </row>
    <row r="70" spans="1:13" ht="12.75" customHeight="1" x14ac:dyDescent="0.2">
      <c r="A70" s="210" t="s">
        <v>36</v>
      </c>
      <c r="B70" s="210"/>
      <c r="C70" s="211"/>
      <c r="D70" s="1"/>
      <c r="E70" s="288">
        <v>0.08</v>
      </c>
      <c r="F70" s="244">
        <v>0.08</v>
      </c>
      <c r="H70" s="212">
        <v>2</v>
      </c>
      <c r="I70" s="621">
        <f t="shared" ref="I70:I81" si="1">IF($F$60=0,"-",$F$65*F70)</f>
        <v>25754.112000000001</v>
      </c>
      <c r="L70" s="710"/>
    </row>
    <row r="71" spans="1:13" ht="12.75" customHeight="1" x14ac:dyDescent="0.2">
      <c r="A71" s="210" t="s">
        <v>37</v>
      </c>
      <c r="B71" s="210"/>
      <c r="C71" s="211"/>
      <c r="D71" s="1"/>
      <c r="E71" s="288">
        <v>0.12</v>
      </c>
      <c r="F71" s="244">
        <v>0.12</v>
      </c>
      <c r="H71" s="212">
        <v>3</v>
      </c>
      <c r="I71" s="621">
        <f t="shared" si="1"/>
        <v>38631.167999999998</v>
      </c>
    </row>
    <row r="72" spans="1:13" ht="12.75" customHeight="1" x14ac:dyDescent="0.2">
      <c r="A72" s="210" t="s">
        <v>38</v>
      </c>
      <c r="B72" s="210"/>
      <c r="C72" s="211"/>
      <c r="D72" s="1"/>
      <c r="E72" s="288">
        <v>0.05</v>
      </c>
      <c r="F72" s="244">
        <v>0.05</v>
      </c>
      <c r="H72" s="212">
        <v>4</v>
      </c>
      <c r="I72" s="621">
        <f t="shared" si="1"/>
        <v>16096.320000000002</v>
      </c>
      <c r="L72" s="1" t="s">
        <v>95</v>
      </c>
    </row>
    <row r="73" spans="1:13" ht="12.75" customHeight="1" x14ac:dyDescent="0.2">
      <c r="A73" s="210" t="s">
        <v>39</v>
      </c>
      <c r="B73" s="210"/>
      <c r="C73" s="211"/>
      <c r="D73" s="1"/>
      <c r="E73" s="288">
        <v>0.22</v>
      </c>
      <c r="F73" s="244">
        <v>0.22</v>
      </c>
      <c r="H73" s="212">
        <v>5</v>
      </c>
      <c r="I73" s="621">
        <f t="shared" si="1"/>
        <v>70823.808000000005</v>
      </c>
    </row>
    <row r="74" spans="1:13" ht="12.75" customHeight="1" x14ac:dyDescent="0.2">
      <c r="A74" s="210" t="s">
        <v>40</v>
      </c>
      <c r="B74" s="210"/>
      <c r="C74" s="211"/>
      <c r="D74" s="1"/>
      <c r="E74" s="288">
        <v>7.0000000000000007E-2</v>
      </c>
      <c r="F74" s="244">
        <v>7.0000000000000007E-2</v>
      </c>
      <c r="H74" s="212">
        <v>6</v>
      </c>
      <c r="I74" s="621">
        <f t="shared" si="1"/>
        <v>22534.848000000005</v>
      </c>
    </row>
    <row r="75" spans="1:13" ht="12.75" customHeight="1" x14ac:dyDescent="0.2">
      <c r="A75" s="210" t="s">
        <v>61</v>
      </c>
      <c r="B75" s="210"/>
      <c r="C75" s="211"/>
      <c r="D75" s="1"/>
      <c r="E75" s="288">
        <v>0.03</v>
      </c>
      <c r="F75" s="244">
        <v>0.03</v>
      </c>
      <c r="H75" s="212"/>
      <c r="I75" s="621">
        <f t="shared" si="1"/>
        <v>9657.7919999999995</v>
      </c>
    </row>
    <row r="76" spans="1:13" ht="12.75" customHeight="1" x14ac:dyDescent="0.2">
      <c r="A76" s="210" t="s">
        <v>54</v>
      </c>
      <c r="B76" s="210"/>
      <c r="C76" s="211"/>
      <c r="D76" s="1"/>
      <c r="E76" s="288">
        <v>0.04</v>
      </c>
      <c r="F76" s="244">
        <v>0.04</v>
      </c>
      <c r="H76" s="212">
        <v>7</v>
      </c>
      <c r="I76" s="621">
        <f t="shared" si="1"/>
        <v>12877.056</v>
      </c>
    </row>
    <row r="77" spans="1:13" ht="12.75" customHeight="1" x14ac:dyDescent="0.2">
      <c r="A77" s="193" t="s">
        <v>80</v>
      </c>
      <c r="B77" s="193"/>
      <c r="C77" s="211"/>
      <c r="D77" s="1"/>
      <c r="E77" s="288">
        <v>0.35</v>
      </c>
      <c r="F77" s="244">
        <v>0.35</v>
      </c>
      <c r="H77" s="212">
        <v>8</v>
      </c>
      <c r="I77" s="621">
        <f t="shared" si="1"/>
        <v>112674.24000000001</v>
      </c>
      <c r="K77" s="709" t="s">
        <v>290</v>
      </c>
    </row>
    <row r="78" spans="1:13" ht="12.75" customHeight="1" x14ac:dyDescent="0.2">
      <c r="A78" s="294" t="s">
        <v>55</v>
      </c>
      <c r="B78" s="294"/>
      <c r="C78" s="295"/>
      <c r="D78" s="1"/>
      <c r="E78" s="292">
        <v>0.02</v>
      </c>
      <c r="F78" s="245">
        <v>0.02</v>
      </c>
      <c r="H78" s="296">
        <v>9</v>
      </c>
      <c r="I78" s="621">
        <f t="shared" si="1"/>
        <v>6438.5280000000002</v>
      </c>
      <c r="K78" s="711" t="s">
        <v>292</v>
      </c>
    </row>
    <row r="79" spans="1:13" s="303" customFormat="1" ht="12.75" customHeight="1" x14ac:dyDescent="0.25">
      <c r="A79" s="580" t="s">
        <v>164</v>
      </c>
      <c r="B79" s="580"/>
      <c r="C79" s="581"/>
      <c r="E79" s="582"/>
      <c r="F79" s="609">
        <v>0</v>
      </c>
      <c r="I79" s="622">
        <f t="shared" si="1"/>
        <v>0</v>
      </c>
      <c r="J79" s="301"/>
      <c r="K79" s="712" t="s">
        <v>294</v>
      </c>
      <c r="L79" s="302"/>
      <c r="M79" s="302"/>
    </row>
    <row r="80" spans="1:13" s="303" customFormat="1" ht="12.75" customHeight="1" x14ac:dyDescent="0.25">
      <c r="A80" s="580" t="s">
        <v>164</v>
      </c>
      <c r="B80" s="580"/>
      <c r="C80" s="581"/>
      <c r="E80" s="582"/>
      <c r="F80" s="609">
        <v>0</v>
      </c>
      <c r="I80" s="622">
        <f t="shared" si="1"/>
        <v>0</v>
      </c>
      <c r="J80" s="301"/>
      <c r="K80" s="712" t="s">
        <v>298</v>
      </c>
      <c r="L80" s="302"/>
      <c r="M80" s="302"/>
    </row>
    <row r="81" spans="1:14" s="303" customFormat="1" ht="12.75" customHeight="1" x14ac:dyDescent="0.25">
      <c r="A81" s="297" t="s">
        <v>164</v>
      </c>
      <c r="B81" s="297"/>
      <c r="C81" s="298"/>
      <c r="D81" s="299"/>
      <c r="E81" s="300"/>
      <c r="F81" s="610">
        <v>0</v>
      </c>
      <c r="G81" s="299"/>
      <c r="I81" s="622">
        <f t="shared" si="1"/>
        <v>0</v>
      </c>
      <c r="J81" s="301"/>
      <c r="K81" s="712" t="s">
        <v>337</v>
      </c>
      <c r="L81" s="302"/>
      <c r="M81" s="302"/>
    </row>
    <row r="82" spans="1:14" s="258" customFormat="1" ht="13.5" customHeight="1" x14ac:dyDescent="0.2">
      <c r="A82" s="213" t="s">
        <v>190</v>
      </c>
      <c r="B82" s="262"/>
      <c r="C82" s="257"/>
      <c r="E82" s="613">
        <f>SUM(E69:E78)</f>
        <v>1</v>
      </c>
      <c r="F82" s="264">
        <f>SUM(F69:F81)</f>
        <v>1</v>
      </c>
      <c r="H82" s="618"/>
      <c r="I82" s="623">
        <f>SUM(I69:I81)</f>
        <v>321926.39999999997</v>
      </c>
      <c r="K82" s="59"/>
    </row>
    <row r="83" spans="1:14" ht="12.75" customHeight="1" x14ac:dyDescent="0.25">
      <c r="F83" s="139"/>
      <c r="J83" s="488"/>
    </row>
    <row r="84" spans="1:14" ht="12.75" customHeight="1" x14ac:dyDescent="0.2">
      <c r="A84" s="498" t="s">
        <v>172</v>
      </c>
      <c r="B84" s="498"/>
      <c r="C84" s="498"/>
      <c r="D84" s="498"/>
      <c r="E84" s="498"/>
      <c r="F84" s="498"/>
      <c r="G84" s="498"/>
      <c r="H84" s="498"/>
      <c r="I84" s="498"/>
      <c r="J84" s="147"/>
      <c r="K84" s="3"/>
      <c r="L84" s="143"/>
      <c r="M84" s="143"/>
    </row>
    <row r="85" spans="1:14" s="32" customFormat="1" ht="4.5" customHeight="1" x14ac:dyDescent="0.2">
      <c r="B85" s="33"/>
      <c r="C85" s="34"/>
      <c r="D85" s="34"/>
      <c r="E85" s="65"/>
      <c r="F85" s="67"/>
      <c r="G85" s="93"/>
      <c r="H85" s="93"/>
      <c r="I85" s="119"/>
      <c r="K85" s="36"/>
    </row>
    <row r="86" spans="1:14" ht="12.75" customHeight="1" x14ac:dyDescent="0.3">
      <c r="A86" s="311" t="s">
        <v>79</v>
      </c>
      <c r="B86" s="477"/>
      <c r="C86" s="477"/>
      <c r="D86" s="477"/>
      <c r="E86" s="316"/>
      <c r="F86" s="500"/>
      <c r="G86" s="617"/>
      <c r="H86" s="617"/>
      <c r="I86" s="599">
        <f>I82</f>
        <v>321926.39999999997</v>
      </c>
      <c r="J86" s="477"/>
      <c r="K86" s="478"/>
      <c r="L86" s="478"/>
      <c r="M86" s="478"/>
    </row>
    <row r="87" spans="1:14" ht="12.75" customHeight="1" x14ac:dyDescent="0.25">
      <c r="A87" s="48" t="s">
        <v>113</v>
      </c>
      <c r="F87" s="496">
        <v>0</v>
      </c>
      <c r="G87" s="572"/>
      <c r="H87" s="497">
        <v>0</v>
      </c>
      <c r="I87" s="599">
        <f>F87*H87</f>
        <v>0</v>
      </c>
      <c r="L87" s="478"/>
      <c r="M87" s="478"/>
      <c r="N87" s="478"/>
    </row>
    <row r="88" spans="1:14" s="32" customFormat="1" ht="4.5" customHeight="1" x14ac:dyDescent="0.2">
      <c r="B88" s="33"/>
      <c r="C88" s="34"/>
      <c r="D88" s="34"/>
      <c r="E88" s="65"/>
      <c r="F88" s="67"/>
      <c r="G88" s="93"/>
      <c r="H88" s="93"/>
      <c r="I88" s="119"/>
      <c r="K88" s="36"/>
    </row>
    <row r="89" spans="1:14" s="32" customFormat="1" ht="12.75" x14ac:dyDescent="0.2">
      <c r="A89" s="480" t="s">
        <v>215</v>
      </c>
      <c r="B89" s="481"/>
      <c r="C89" s="482"/>
      <c r="D89" s="482"/>
      <c r="E89" s="483"/>
      <c r="F89" s="485"/>
      <c r="G89" s="483"/>
      <c r="H89" s="483"/>
      <c r="I89" s="484">
        <f>I86+I87</f>
        <v>321926.39999999997</v>
      </c>
      <c r="K89" s="36"/>
    </row>
    <row r="90" spans="1:14" s="32" customFormat="1" ht="4.5" customHeight="1" x14ac:dyDescent="0.2">
      <c r="B90" s="33"/>
      <c r="C90" s="34"/>
      <c r="D90" s="34"/>
      <c r="E90" s="65"/>
      <c r="F90" s="67"/>
      <c r="G90" s="93"/>
      <c r="H90" s="93"/>
      <c r="I90" s="119"/>
      <c r="K90" s="36"/>
    </row>
    <row r="91" spans="1:14" s="32" customFormat="1" ht="12.75" x14ac:dyDescent="0.2">
      <c r="A91" s="68" t="s">
        <v>13</v>
      </c>
      <c r="B91" s="33"/>
      <c r="C91" s="34"/>
      <c r="D91" s="34"/>
      <c r="E91" s="76"/>
      <c r="F91" s="495">
        <v>0.04</v>
      </c>
      <c r="G91" s="334"/>
      <c r="H91" s="94"/>
      <c r="I91" s="120">
        <f>ROUND(I89*F91,2)</f>
        <v>12877.06</v>
      </c>
      <c r="K91" s="36"/>
    </row>
    <row r="92" spans="1:14" s="32" customFormat="1" ht="3" customHeight="1" x14ac:dyDescent="0.2">
      <c r="A92" s="69"/>
      <c r="B92" s="70"/>
      <c r="C92" s="71"/>
      <c r="D92" s="71"/>
      <c r="E92" s="77"/>
      <c r="F92" s="240"/>
      <c r="G92" s="249"/>
      <c r="H92" s="95"/>
      <c r="I92" s="121"/>
      <c r="K92" s="36"/>
    </row>
    <row r="93" spans="1:14" s="32" customFormat="1" ht="3" customHeight="1" x14ac:dyDescent="0.2">
      <c r="B93" s="33"/>
      <c r="C93" s="34"/>
      <c r="D93" s="34"/>
      <c r="E93" s="79"/>
      <c r="F93" s="241"/>
      <c r="G93" s="335"/>
      <c r="H93" s="96"/>
      <c r="I93" s="119"/>
      <c r="K93" s="36"/>
    </row>
    <row r="94" spans="1:14" s="32" customFormat="1" ht="12.75" x14ac:dyDescent="0.2">
      <c r="A94" s="480" t="s">
        <v>216</v>
      </c>
      <c r="B94" s="481"/>
      <c r="C94" s="482"/>
      <c r="D94" s="482"/>
      <c r="E94" s="363"/>
      <c r="F94" s="362"/>
      <c r="G94" s="362"/>
      <c r="H94" s="360"/>
      <c r="I94" s="484">
        <f>I89+I91</f>
        <v>334803.45999999996</v>
      </c>
      <c r="K94" s="36"/>
    </row>
    <row r="95" spans="1:14" s="32" customFormat="1" ht="4.5" customHeight="1" x14ac:dyDescent="0.2">
      <c r="A95" s="73"/>
      <c r="B95" s="74"/>
      <c r="C95" s="75"/>
      <c r="D95" s="75"/>
      <c r="E95" s="35"/>
      <c r="F95" s="238"/>
      <c r="G95" s="336"/>
      <c r="H95" s="94"/>
      <c r="I95" s="122"/>
      <c r="K95" s="36"/>
    </row>
    <row r="96" spans="1:14" s="32" customFormat="1" ht="12.75" x14ac:dyDescent="0.2">
      <c r="A96" s="159" t="s">
        <v>150</v>
      </c>
      <c r="B96" s="74"/>
      <c r="C96" s="75"/>
      <c r="D96" s="75"/>
      <c r="E96" s="35"/>
      <c r="F96" s="495">
        <v>0</v>
      </c>
      <c r="G96" s="94"/>
      <c r="H96" s="37"/>
      <c r="I96" s="120">
        <f>ROUND(I94*F96,2)</f>
        <v>0</v>
      </c>
      <c r="K96" s="36"/>
    </row>
    <row r="97" spans="1:11" s="32" customFormat="1" ht="3" customHeight="1" x14ac:dyDescent="0.2">
      <c r="A97" s="69"/>
      <c r="B97" s="70"/>
      <c r="C97" s="71"/>
      <c r="D97" s="71"/>
      <c r="E97" s="77"/>
      <c r="F97" s="240"/>
      <c r="G97" s="249"/>
      <c r="H97" s="95"/>
      <c r="I97" s="121"/>
      <c r="K97" s="36"/>
    </row>
    <row r="98" spans="1:11" s="32" customFormat="1" ht="3" customHeight="1" x14ac:dyDescent="0.2">
      <c r="B98" s="33"/>
      <c r="C98" s="34"/>
      <c r="D98" s="34"/>
      <c r="E98" s="79"/>
      <c r="F98" s="241"/>
      <c r="G98" s="335"/>
      <c r="H98" s="96"/>
      <c r="I98" s="119"/>
      <c r="K98" s="36"/>
    </row>
    <row r="99" spans="1:11" s="32" customFormat="1" ht="12.75" x14ac:dyDescent="0.2">
      <c r="A99" s="480" t="s">
        <v>217</v>
      </c>
      <c r="B99" s="481"/>
      <c r="C99" s="482"/>
      <c r="D99" s="482"/>
      <c r="E99" s="363"/>
      <c r="F99" s="362"/>
      <c r="G99" s="362"/>
      <c r="H99" s="360"/>
      <c r="I99" s="484">
        <f>I94+I96</f>
        <v>334803.45999999996</v>
      </c>
      <c r="K99" s="36"/>
    </row>
    <row r="100" spans="1:11" s="32" customFormat="1" ht="4.5" customHeight="1" x14ac:dyDescent="0.2">
      <c r="A100" s="73"/>
      <c r="B100" s="74"/>
      <c r="C100" s="75"/>
      <c r="D100" s="75"/>
      <c r="E100" s="35"/>
      <c r="F100" s="238"/>
      <c r="G100" s="336"/>
      <c r="H100" s="94"/>
      <c r="I100" s="122"/>
      <c r="K100" s="36"/>
    </row>
    <row r="101" spans="1:11" s="32" customFormat="1" ht="12.75" x14ac:dyDescent="0.2">
      <c r="A101" s="32" t="s">
        <v>14</v>
      </c>
      <c r="B101" s="33"/>
      <c r="D101" s="34"/>
      <c r="E101" s="72"/>
      <c r="F101" s="38">
        <v>0.2</v>
      </c>
      <c r="G101" s="38"/>
      <c r="H101" s="38"/>
      <c r="I101" s="123">
        <f>ROUND(I99*F101,2)</f>
        <v>66960.69</v>
      </c>
      <c r="K101" s="36"/>
    </row>
    <row r="102" spans="1:11" s="32" customFormat="1" ht="3" customHeight="1" x14ac:dyDescent="0.2">
      <c r="A102" s="37"/>
      <c r="B102" s="231"/>
      <c r="C102" s="78"/>
      <c r="D102" s="78"/>
      <c r="E102" s="72"/>
      <c r="F102" s="67"/>
      <c r="G102" s="93"/>
      <c r="H102" s="93"/>
      <c r="I102" s="124"/>
      <c r="K102" s="36"/>
    </row>
    <row r="103" spans="1:11" s="37" customFormat="1" ht="12.75" x14ac:dyDescent="0.2">
      <c r="A103" s="489" t="s">
        <v>218</v>
      </c>
      <c r="B103" s="494"/>
      <c r="C103" s="490"/>
      <c r="D103" s="490"/>
      <c r="E103" s="491"/>
      <c r="F103" s="492"/>
      <c r="G103" s="492"/>
      <c r="H103" s="492"/>
      <c r="I103" s="493">
        <f>SUM(I99:I101)</f>
        <v>401764.14999999997</v>
      </c>
      <c r="K103" s="36"/>
    </row>
    <row r="104" spans="1:11" ht="5.0999999999999996" customHeight="1" x14ac:dyDescent="0.2">
      <c r="F104" s="8"/>
      <c r="G104" s="42"/>
    </row>
  </sheetData>
  <mergeCells count="18">
    <mergeCell ref="A20:B20"/>
    <mergeCell ref="F2:I2"/>
    <mergeCell ref="A7:B7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30:B30"/>
    <mergeCell ref="A32:B32"/>
    <mergeCell ref="A22:B22"/>
    <mergeCell ref="A24:B24"/>
    <mergeCell ref="A26:B26"/>
    <mergeCell ref="A28:B28"/>
  </mergeCells>
  <conditionalFormatting sqref="F63">
    <cfRule type="expression" dxfId="11" priority="2" stopIfTrue="1">
      <formula>$F$60&gt;1999999.99</formula>
    </cfRule>
  </conditionalFormatting>
  <conditionalFormatting sqref="F64">
    <cfRule type="expression" dxfId="10" priority="1" stopIfTrue="1">
      <formula>$F$60&lt;2000000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&amp;L&amp;"Arial,Fett"&amp;10&amp;K00-045Vergabemodelle&amp;R&amp;"Arial,Fett"&amp;10&amp;K00-046Vertrag Generalplanung - Anhang 3</oddHeader>
    <oddFooter>&amp;L&amp;"Arial,Fett"&amp;9&amp;K01+015Leitfaden Vergabe technische Beratung &amp; Planung&amp;R&amp;"Arial,Standard"&amp;9&amp;K01+015 Juni 2018                              Seite &amp;P von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4">
    <tabColor theme="0" tint="-0.34998626667073579"/>
  </sheetPr>
  <dimension ref="A1:R104"/>
  <sheetViews>
    <sheetView showGridLines="0" tabSelected="1" view="pageLayout" topLeftCell="A55" zoomScaleNormal="85" zoomScaleSheetLayoutView="85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5.7109375" style="1" customWidth="1"/>
    <col min="13" max="16384" width="11.5703125" style="1"/>
  </cols>
  <sheetData>
    <row r="1" spans="1:11" ht="5.0999999999999996" customHeight="1" x14ac:dyDescent="0.2"/>
    <row r="2" spans="1:11" s="54" customFormat="1" ht="35.1" customHeight="1" x14ac:dyDescent="0.2">
      <c r="C2" s="13"/>
      <c r="D2" s="103"/>
      <c r="F2" s="820" t="s">
        <v>338</v>
      </c>
      <c r="G2" s="820"/>
      <c r="H2" s="820"/>
      <c r="I2" s="820"/>
      <c r="J2" s="590"/>
      <c r="K2" s="62"/>
    </row>
    <row r="3" spans="1:11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H5" s="16" t="s">
        <v>16</v>
      </c>
      <c r="I5" s="117" t="s">
        <v>51</v>
      </c>
      <c r="K5" s="45"/>
    </row>
    <row r="6" spans="1:11" s="11" customFormat="1" ht="6" customHeight="1" x14ac:dyDescent="0.25">
      <c r="F6" s="98"/>
      <c r="I6" s="2"/>
      <c r="K6" s="2"/>
    </row>
    <row r="7" spans="1:11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F7/F34</f>
        <v>2.1739888766278866E-3</v>
      </c>
      <c r="F7" s="389">
        <f>_1</f>
        <v>70000</v>
      </c>
      <c r="G7" s="104"/>
      <c r="H7" s="135">
        <v>0</v>
      </c>
      <c r="I7" s="38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G8" s="1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597">
        <f>F9/F34</f>
        <v>0.27951285556644256</v>
      </c>
      <c r="F9" s="389">
        <f>_2</f>
        <v>9000000</v>
      </c>
      <c r="G9" s="104"/>
      <c r="H9" s="135">
        <v>0</v>
      </c>
      <c r="I9" s="389">
        <f>F9*H9</f>
        <v>0</v>
      </c>
      <c r="K9" s="50"/>
    </row>
    <row r="10" spans="1:11" ht="2.25" customHeight="1" x14ac:dyDescent="0.2">
      <c r="B10" s="4"/>
      <c r="C10" s="6"/>
      <c r="D10" s="1"/>
      <c r="E10" s="161"/>
      <c r="F10" s="174"/>
      <c r="G10" s="1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F11/F34</f>
        <v>0.25156157000979829</v>
      </c>
      <c r="F11" s="389">
        <f>_3</f>
        <v>8100000</v>
      </c>
      <c r="G11" s="104"/>
      <c r="H11" s="633"/>
      <c r="I11" s="158"/>
      <c r="K11" s="50"/>
    </row>
    <row r="12" spans="1:11" ht="12.95" customHeight="1" x14ac:dyDescent="0.2">
      <c r="A12" s="840">
        <v>3</v>
      </c>
      <c r="B12" s="840"/>
      <c r="C12" s="109" t="s">
        <v>17</v>
      </c>
      <c r="D12" s="110" t="s">
        <v>18</v>
      </c>
      <c r="E12" s="162"/>
      <c r="F12" s="176">
        <f>_3Sanitär</f>
        <v>900000</v>
      </c>
      <c r="G12" s="104"/>
      <c r="H12" s="136">
        <v>0</v>
      </c>
      <c r="I12" s="180">
        <f t="shared" ref="I12:I20" si="0">F12*H12</f>
        <v>0</v>
      </c>
      <c r="K12" s="50"/>
    </row>
    <row r="13" spans="1:11" ht="12.95" customHeight="1" x14ac:dyDescent="0.2">
      <c r="A13" s="842">
        <v>3</v>
      </c>
      <c r="B13" s="842"/>
      <c r="C13" s="111" t="s">
        <v>19</v>
      </c>
      <c r="D13" s="112" t="s">
        <v>26</v>
      </c>
      <c r="E13" s="163"/>
      <c r="F13" s="177">
        <f>_3Heizung</f>
        <v>1000000</v>
      </c>
      <c r="G13" s="104"/>
      <c r="H13" s="136">
        <v>0</v>
      </c>
      <c r="I13" s="235">
        <f t="shared" si="0"/>
        <v>0</v>
      </c>
      <c r="K13" s="50"/>
    </row>
    <row r="14" spans="1:11" ht="12.95" customHeight="1" x14ac:dyDescent="0.2">
      <c r="A14" s="842">
        <v>3</v>
      </c>
      <c r="B14" s="842"/>
      <c r="C14" s="111" t="s">
        <v>20</v>
      </c>
      <c r="D14" s="112" t="s">
        <v>27</v>
      </c>
      <c r="E14" s="163"/>
      <c r="F14" s="178">
        <f>_3Lüftung</f>
        <v>1000000</v>
      </c>
      <c r="G14" s="104"/>
      <c r="H14" s="136">
        <v>0</v>
      </c>
      <c r="I14" s="235">
        <f t="shared" si="0"/>
        <v>0</v>
      </c>
      <c r="K14" s="50"/>
    </row>
    <row r="15" spans="1:11" ht="12.95" customHeight="1" x14ac:dyDescent="0.2">
      <c r="A15" s="842">
        <v>3</v>
      </c>
      <c r="B15" s="842"/>
      <c r="C15" s="111" t="s">
        <v>21</v>
      </c>
      <c r="D15" s="112" t="s">
        <v>28</v>
      </c>
      <c r="E15" s="163"/>
      <c r="F15" s="178">
        <f>_3Elektro</f>
        <v>1500000</v>
      </c>
      <c r="G15" s="104"/>
      <c r="H15" s="136">
        <v>1</v>
      </c>
      <c r="I15" s="235">
        <f t="shared" si="0"/>
        <v>1500000</v>
      </c>
      <c r="K15" s="50"/>
    </row>
    <row r="16" spans="1:11" ht="12.95" customHeight="1" x14ac:dyDescent="0.2">
      <c r="A16" s="842">
        <v>3</v>
      </c>
      <c r="B16" s="842"/>
      <c r="C16" s="111" t="s">
        <v>22</v>
      </c>
      <c r="D16" s="112" t="s">
        <v>31</v>
      </c>
      <c r="E16" s="163"/>
      <c r="F16" s="178">
        <f>_3IT</f>
        <v>600000</v>
      </c>
      <c r="G16" s="104"/>
      <c r="H16" s="136">
        <v>1</v>
      </c>
      <c r="I16" s="235">
        <f t="shared" si="0"/>
        <v>600000</v>
      </c>
      <c r="K16" s="50"/>
    </row>
    <row r="17" spans="1:11" ht="12.95" customHeight="1" x14ac:dyDescent="0.2">
      <c r="A17" s="842">
        <v>3</v>
      </c>
      <c r="B17" s="842"/>
      <c r="C17" s="111" t="s">
        <v>23</v>
      </c>
      <c r="D17" s="112" t="s">
        <v>29</v>
      </c>
      <c r="E17" s="163"/>
      <c r="F17" s="178">
        <f>_3Föte</f>
        <v>1500000</v>
      </c>
      <c r="G17" s="104"/>
      <c r="H17" s="136">
        <v>0</v>
      </c>
      <c r="I17" s="235">
        <f t="shared" si="0"/>
        <v>0</v>
      </c>
      <c r="K17" s="50"/>
    </row>
    <row r="18" spans="1:11" ht="12.95" customHeight="1" x14ac:dyDescent="0.2">
      <c r="A18" s="842">
        <v>3</v>
      </c>
      <c r="B18" s="842"/>
      <c r="C18" s="111" t="s">
        <v>24</v>
      </c>
      <c r="D18" s="112" t="s">
        <v>30</v>
      </c>
      <c r="E18" s="163"/>
      <c r="F18" s="178">
        <f>_3Nutzer</f>
        <v>300000</v>
      </c>
      <c r="G18" s="104"/>
      <c r="H18" s="136">
        <v>0</v>
      </c>
      <c r="I18" s="235">
        <f t="shared" si="0"/>
        <v>0</v>
      </c>
      <c r="K18" s="50"/>
    </row>
    <row r="19" spans="1:11" ht="12.95" customHeight="1" x14ac:dyDescent="0.2">
      <c r="A19" s="687">
        <v>3</v>
      </c>
      <c r="B19" s="687"/>
      <c r="C19" s="111" t="s">
        <v>317</v>
      </c>
      <c r="D19" s="112" t="s">
        <v>316</v>
      </c>
      <c r="E19" s="163"/>
      <c r="F19" s="178">
        <f>Projektkennwerte!M49</f>
        <v>1000000</v>
      </c>
      <c r="G19" s="104"/>
      <c r="H19" s="136">
        <v>0</v>
      </c>
      <c r="I19" s="689">
        <f t="shared" si="0"/>
        <v>0</v>
      </c>
      <c r="K19" s="50"/>
    </row>
    <row r="20" spans="1:11" ht="12.95" customHeight="1" x14ac:dyDescent="0.2">
      <c r="A20" s="842">
        <v>3</v>
      </c>
      <c r="B20" s="842"/>
      <c r="C20" s="111" t="s">
        <v>25</v>
      </c>
      <c r="D20" s="112" t="s">
        <v>8</v>
      </c>
      <c r="E20" s="163"/>
      <c r="F20" s="178">
        <f>_3GA</f>
        <v>300000</v>
      </c>
      <c r="G20" s="104"/>
      <c r="H20" s="136">
        <v>0</v>
      </c>
      <c r="I20" s="236">
        <f t="shared" si="0"/>
        <v>0</v>
      </c>
      <c r="K20" s="50"/>
    </row>
    <row r="21" spans="1:11" ht="2.25" customHeight="1" x14ac:dyDescent="0.2">
      <c r="B21" s="4"/>
      <c r="C21" s="6"/>
      <c r="D21" s="1"/>
      <c r="E21" s="161"/>
      <c r="F21" s="174"/>
      <c r="G21" s="1"/>
      <c r="H21" s="631"/>
      <c r="I21" s="174"/>
      <c r="K21" s="63"/>
    </row>
    <row r="22" spans="1:11" s="11" customFormat="1" ht="12.75" customHeight="1" x14ac:dyDescent="0.2">
      <c r="A22" s="821">
        <v>4</v>
      </c>
      <c r="B22" s="821"/>
      <c r="C22" s="106"/>
      <c r="D22" s="107" t="s">
        <v>2</v>
      </c>
      <c r="E22" s="597">
        <f>F22/F34</f>
        <v>0.20187039568687518</v>
      </c>
      <c r="F22" s="389">
        <f>_4</f>
        <v>6500000</v>
      </c>
      <c r="G22" s="104"/>
      <c r="H22" s="135">
        <v>0</v>
      </c>
      <c r="I22" s="389">
        <f>F22*H22</f>
        <v>0</v>
      </c>
      <c r="K22" s="50"/>
    </row>
    <row r="23" spans="1:11" ht="2.25" customHeight="1" x14ac:dyDescent="0.2">
      <c r="B23" s="4"/>
      <c r="C23" s="6"/>
      <c r="D23" s="1"/>
      <c r="E23" s="161"/>
      <c r="F23" s="174"/>
      <c r="G23" s="1"/>
      <c r="H23" s="631"/>
      <c r="I23" s="174"/>
      <c r="K23" s="63"/>
    </row>
    <row r="24" spans="1:11" s="12" customFormat="1" ht="12.95" customHeight="1" x14ac:dyDescent="0.2">
      <c r="A24" s="821">
        <v>5</v>
      </c>
      <c r="B24" s="821"/>
      <c r="C24" s="106"/>
      <c r="D24" s="107" t="s">
        <v>9</v>
      </c>
      <c r="E24" s="597">
        <f>F24/F34</f>
        <v>5.1244023520514471E-2</v>
      </c>
      <c r="F24" s="389">
        <f>_5</f>
        <v>1650000</v>
      </c>
      <c r="G24" s="104"/>
      <c r="H24" s="135">
        <v>0</v>
      </c>
      <c r="I24" s="389">
        <f>F24*H24</f>
        <v>0</v>
      </c>
      <c r="K24" s="50"/>
    </row>
    <row r="25" spans="1:11" ht="2.25" customHeight="1" x14ac:dyDescent="0.2">
      <c r="B25" s="4"/>
      <c r="C25" s="6"/>
      <c r="D25" s="1"/>
      <c r="E25" s="161"/>
      <c r="F25" s="174"/>
      <c r="G25" s="1"/>
      <c r="H25" s="631"/>
      <c r="I25" s="174"/>
      <c r="K25" s="63"/>
    </row>
    <row r="26" spans="1:11" s="11" customFormat="1" ht="12.95" customHeight="1" x14ac:dyDescent="0.2">
      <c r="A26" s="821">
        <v>6</v>
      </c>
      <c r="B26" s="821"/>
      <c r="C26" s="106"/>
      <c r="D26" s="107" t="s">
        <v>3</v>
      </c>
      <c r="E26" s="597">
        <f>F26/F34</f>
        <v>1.5528491975913475E-2</v>
      </c>
      <c r="F26" s="389">
        <f>_6</f>
        <v>500000</v>
      </c>
      <c r="G26" s="104"/>
      <c r="H26" s="135">
        <v>0</v>
      </c>
      <c r="I26" s="389">
        <f>F26*H26</f>
        <v>0</v>
      </c>
      <c r="K26" s="50"/>
    </row>
    <row r="27" spans="1:11" ht="2.25" customHeight="1" x14ac:dyDescent="0.2">
      <c r="B27" s="4"/>
      <c r="C27" s="6"/>
      <c r="D27" s="1"/>
      <c r="E27" s="161"/>
      <c r="F27" s="174"/>
      <c r="G27" s="1"/>
      <c r="H27" s="631"/>
      <c r="I27" s="174"/>
      <c r="K27" s="63"/>
    </row>
    <row r="28" spans="1:11" s="12" customFormat="1" ht="12.95" customHeight="1" x14ac:dyDescent="0.2">
      <c r="A28" s="821">
        <v>7</v>
      </c>
      <c r="B28" s="821"/>
      <c r="C28" s="106"/>
      <c r="D28" s="107" t="s">
        <v>110</v>
      </c>
      <c r="E28" s="597">
        <f>F28/F34</f>
        <v>0.14729944861863917</v>
      </c>
      <c r="F28" s="389">
        <f>_7</f>
        <v>4742876.7985686567</v>
      </c>
      <c r="G28" s="104"/>
      <c r="H28" s="135">
        <v>0</v>
      </c>
      <c r="I28" s="389">
        <f>F28*H28</f>
        <v>0</v>
      </c>
      <c r="K28" s="50"/>
    </row>
    <row r="29" spans="1:11" ht="2.25" customHeight="1" x14ac:dyDescent="0.2">
      <c r="B29" s="4"/>
      <c r="C29" s="6"/>
      <c r="D29" s="1"/>
      <c r="E29" s="161"/>
      <c r="F29" s="174"/>
      <c r="G29" s="1"/>
      <c r="H29" s="631"/>
      <c r="I29" s="174"/>
      <c r="K29" s="63"/>
    </row>
    <row r="30" spans="1:11" s="12" customFormat="1" ht="12.95" customHeight="1" x14ac:dyDescent="0.2">
      <c r="A30" s="821">
        <v>8</v>
      </c>
      <c r="B30" s="821"/>
      <c r="C30" s="106"/>
      <c r="D30" s="107" t="s">
        <v>105</v>
      </c>
      <c r="E30" s="597">
        <f>F30/F34</f>
        <v>1.1180514222657702E-3</v>
      </c>
      <c r="F30" s="389">
        <f>_8</f>
        <v>36000</v>
      </c>
      <c r="G30" s="104"/>
      <c r="H30" s="135">
        <v>0</v>
      </c>
      <c r="I30" s="389">
        <f>F30*H30</f>
        <v>0</v>
      </c>
      <c r="K30" s="50"/>
    </row>
    <row r="31" spans="1:11" ht="2.25" customHeight="1" x14ac:dyDescent="0.2">
      <c r="B31" s="4"/>
      <c r="C31" s="6"/>
      <c r="D31" s="1"/>
      <c r="E31" s="161"/>
      <c r="F31" s="174"/>
      <c r="G31" s="1"/>
      <c r="H31" s="631"/>
      <c r="I31" s="174"/>
      <c r="K31" s="63"/>
    </row>
    <row r="32" spans="1:11" s="12" customFormat="1" ht="12.95" customHeight="1" x14ac:dyDescent="0.2">
      <c r="A32" s="821">
        <v>9</v>
      </c>
      <c r="B32" s="821"/>
      <c r="C32" s="106"/>
      <c r="D32" s="107" t="s">
        <v>10</v>
      </c>
      <c r="E32" s="597">
        <f>F32/F34</f>
        <v>4.9691174322923123E-2</v>
      </c>
      <c r="F32" s="389">
        <f>_9</f>
        <v>1600000</v>
      </c>
      <c r="G32" s="104"/>
      <c r="H32" s="135">
        <v>0.01</v>
      </c>
      <c r="I32" s="389">
        <f>F32*H32</f>
        <v>16000</v>
      </c>
      <c r="K32" s="50"/>
    </row>
    <row r="33" spans="1:13" ht="12" customHeight="1" x14ac:dyDescent="0.2">
      <c r="B33" s="17"/>
      <c r="C33" s="5"/>
      <c r="D33" s="1"/>
      <c r="E33" s="47"/>
      <c r="F33" s="1"/>
      <c r="G33" s="1"/>
      <c r="H33" s="138"/>
      <c r="I33" s="1"/>
      <c r="K33" s="1"/>
    </row>
    <row r="34" spans="1:13" ht="12.95" customHeight="1" x14ac:dyDescent="0.25">
      <c r="A34" s="144" t="s">
        <v>12</v>
      </c>
      <c r="B34" s="145"/>
      <c r="C34" s="145"/>
      <c r="D34" s="145"/>
      <c r="E34" s="102">
        <f>SUM(E7:E32)</f>
        <v>0.99999999999999989</v>
      </c>
      <c r="F34" s="118">
        <f>SUM(F7+F9+F11+F22+F24+F26+F28+F30+F32)</f>
        <v>32198876.798568659</v>
      </c>
      <c r="G34" s="92"/>
      <c r="H34" s="216"/>
      <c r="I34" s="30"/>
      <c r="K34" s="30"/>
    </row>
    <row r="35" spans="1:13" ht="6" customHeight="1" x14ac:dyDescent="0.2">
      <c r="B35" s="13"/>
      <c r="C35" s="13"/>
      <c r="D35" s="14"/>
      <c r="E35" s="1"/>
      <c r="F35" s="47"/>
      <c r="G35" s="14"/>
      <c r="H35" s="19"/>
      <c r="I35" s="15"/>
      <c r="K35" s="18"/>
    </row>
    <row r="36" spans="1:13" s="20" customFormat="1" ht="12.95" customHeight="1" x14ac:dyDescent="0.3">
      <c r="A36" s="486" t="s">
        <v>32</v>
      </c>
      <c r="B36" s="487"/>
      <c r="C36" s="487"/>
      <c r="D36" s="487"/>
      <c r="E36" s="479"/>
      <c r="F36" s="479"/>
      <c r="G36" s="479"/>
      <c r="H36" s="338"/>
      <c r="I36" s="146">
        <f>SUM(I7:I32)</f>
        <v>2116000</v>
      </c>
      <c r="K36" s="64"/>
    </row>
    <row r="37" spans="1:13" s="20" customFormat="1" ht="13.5" customHeight="1" x14ac:dyDescent="0.3">
      <c r="A37" s="435"/>
      <c r="B37" s="149"/>
      <c r="C37" s="149"/>
      <c r="D37" s="149"/>
      <c r="E37" s="92"/>
      <c r="F37" s="92"/>
      <c r="G37" s="92"/>
      <c r="H37" s="436"/>
      <c r="I37" s="437"/>
      <c r="K37" s="64"/>
    </row>
    <row r="38" spans="1:13" ht="12.75" customHeight="1" x14ac:dyDescent="0.2">
      <c r="A38" s="340" t="s">
        <v>83</v>
      </c>
      <c r="B38" s="341"/>
      <c r="C38" s="341"/>
      <c r="D38" s="341"/>
      <c r="E38" s="341"/>
      <c r="F38" s="341"/>
      <c r="G38" s="341"/>
      <c r="H38" s="341"/>
      <c r="I38" s="359"/>
      <c r="K38" s="18"/>
    </row>
    <row r="39" spans="1:13" ht="4.5" customHeight="1" x14ac:dyDescent="0.2">
      <c r="A39" s="195"/>
      <c r="B39" s="196"/>
      <c r="C39" s="196"/>
      <c r="D39" s="196"/>
      <c r="E39" s="196"/>
      <c r="F39" s="196"/>
      <c r="G39" s="196"/>
      <c r="H39" s="196"/>
      <c r="I39" s="220"/>
      <c r="J39" s="59"/>
      <c r="K39" s="18"/>
    </row>
    <row r="40" spans="1:13" ht="12.75" customHeight="1" x14ac:dyDescent="0.2">
      <c r="A40" s="25"/>
      <c r="B40" s="25"/>
      <c r="C40" s="25"/>
      <c r="D40" s="1"/>
      <c r="E40" s="1"/>
      <c r="F40" s="197" t="s">
        <v>5</v>
      </c>
      <c r="H40" s="198" t="s">
        <v>4</v>
      </c>
      <c r="I40" s="309"/>
      <c r="K40" s="58"/>
    </row>
    <row r="41" spans="1:13" ht="12.75" customHeight="1" x14ac:dyDescent="0.2">
      <c r="B41" s="26" t="s">
        <v>46</v>
      </c>
      <c r="C41" s="60"/>
      <c r="D41" s="51"/>
      <c r="E41" s="51"/>
      <c r="F41" s="151">
        <v>20</v>
      </c>
      <c r="G41" s="199"/>
      <c r="H41" s="199" t="s">
        <v>58</v>
      </c>
      <c r="I41" s="309"/>
      <c r="K41" s="58"/>
    </row>
    <row r="42" spans="1:13" ht="12.75" customHeight="1" x14ac:dyDescent="0.2">
      <c r="B42" s="27" t="s">
        <v>47</v>
      </c>
      <c r="C42" s="61"/>
      <c r="D42" s="52"/>
      <c r="E42" s="52"/>
      <c r="F42" s="151">
        <v>2</v>
      </c>
      <c r="G42" s="199"/>
      <c r="H42" s="200" t="s">
        <v>6</v>
      </c>
      <c r="I42" s="309"/>
      <c r="K42" s="58"/>
    </row>
    <row r="43" spans="1:13" ht="12.75" customHeight="1" x14ac:dyDescent="0.2">
      <c r="B43" s="27" t="s">
        <v>48</v>
      </c>
      <c r="C43" s="61"/>
      <c r="D43" s="52"/>
      <c r="E43" s="52"/>
      <c r="F43" s="151">
        <v>1</v>
      </c>
      <c r="G43" s="199"/>
      <c r="H43" s="200" t="s">
        <v>6</v>
      </c>
      <c r="I43" s="309"/>
      <c r="K43" s="58"/>
    </row>
    <row r="44" spans="1:13" ht="12.75" customHeight="1" x14ac:dyDescent="0.2">
      <c r="B44" s="27" t="s">
        <v>49</v>
      </c>
      <c r="C44" s="52"/>
      <c r="D44" s="52"/>
      <c r="E44" s="52"/>
      <c r="F44" s="151">
        <v>2</v>
      </c>
      <c r="G44" s="200"/>
      <c r="H44" s="200" t="s">
        <v>6</v>
      </c>
      <c r="I44" s="309"/>
      <c r="K44" s="58"/>
    </row>
    <row r="45" spans="1:13" ht="4.5" customHeight="1" x14ac:dyDescent="0.2">
      <c r="A45" s="40"/>
      <c r="B45" s="40"/>
      <c r="C45" s="40"/>
      <c r="D45" s="1"/>
      <c r="E45" s="1"/>
      <c r="F45" s="201"/>
      <c r="H45" s="201"/>
      <c r="I45" s="309"/>
      <c r="K45" s="58"/>
    </row>
    <row r="46" spans="1:13" ht="12.75" customHeight="1" x14ac:dyDescent="0.25">
      <c r="B46" s="27" t="s">
        <v>141</v>
      </c>
      <c r="C46" s="61"/>
      <c r="D46" s="52"/>
      <c r="E46" s="52"/>
      <c r="F46" s="563"/>
      <c r="G46" s="329"/>
      <c r="H46" s="200" t="s">
        <v>57</v>
      </c>
      <c r="I46" s="309"/>
      <c r="J46" s="58"/>
      <c r="K46" s="554"/>
      <c r="L46" s="554"/>
      <c r="M46" s="554"/>
    </row>
    <row r="47" spans="1:13" ht="12.75" customHeight="1" x14ac:dyDescent="0.25">
      <c r="B47" s="27" t="s">
        <v>185</v>
      </c>
      <c r="C47" s="61"/>
      <c r="D47" s="52"/>
      <c r="E47" s="52"/>
      <c r="F47" s="563"/>
      <c r="G47" s="329"/>
      <c r="H47" s="200" t="s">
        <v>57</v>
      </c>
      <c r="I47" s="309"/>
      <c r="J47" s="58"/>
      <c r="K47" s="554"/>
      <c r="L47" s="554"/>
      <c r="M47" s="554"/>
    </row>
    <row r="48" spans="1:13" ht="12.75" customHeight="1" x14ac:dyDescent="0.25">
      <c r="B48" s="27" t="s">
        <v>143</v>
      </c>
      <c r="C48" s="61"/>
      <c r="D48" s="52"/>
      <c r="E48" s="52"/>
      <c r="F48" s="563"/>
      <c r="G48" s="329"/>
      <c r="H48" s="200" t="s">
        <v>57</v>
      </c>
      <c r="I48" s="309"/>
      <c r="J48" s="58"/>
      <c r="K48" s="554"/>
      <c r="L48" s="554"/>
      <c r="M48" s="554"/>
    </row>
    <row r="49" spans="1:13" ht="12.75" customHeight="1" x14ac:dyDescent="0.25">
      <c r="B49" s="27" t="s">
        <v>144</v>
      </c>
      <c r="C49" s="61"/>
      <c r="D49" s="52"/>
      <c r="E49" s="52"/>
      <c r="F49" s="563"/>
      <c r="G49" s="329"/>
      <c r="H49" s="200" t="s">
        <v>57</v>
      </c>
      <c r="I49" s="309"/>
      <c r="J49" s="58"/>
      <c r="K49" s="554"/>
      <c r="L49" s="554"/>
      <c r="M49" s="554"/>
    </row>
    <row r="50" spans="1:13" ht="12.75" customHeight="1" x14ac:dyDescent="0.25">
      <c r="B50" s="27" t="s">
        <v>181</v>
      </c>
      <c r="C50" s="61"/>
      <c r="D50" s="52"/>
      <c r="E50" s="52"/>
      <c r="F50" s="563"/>
      <c r="G50" s="329"/>
      <c r="H50" s="200" t="s">
        <v>163</v>
      </c>
      <c r="I50" s="309"/>
      <c r="J50" s="58"/>
      <c r="K50" s="554"/>
      <c r="L50" s="554"/>
      <c r="M50" s="554"/>
    </row>
    <row r="51" spans="1:13" ht="12.75" customHeight="1" x14ac:dyDescent="0.25">
      <c r="B51" s="27" t="s">
        <v>183</v>
      </c>
      <c r="C51" s="61"/>
      <c r="D51" s="52"/>
      <c r="E51" s="52"/>
      <c r="F51" s="563"/>
      <c r="G51" s="329"/>
      <c r="H51" s="200" t="s">
        <v>160</v>
      </c>
      <c r="I51" s="309"/>
      <c r="J51" s="58"/>
      <c r="K51" s="554"/>
      <c r="L51" s="554"/>
      <c r="M51" s="554"/>
    </row>
    <row r="52" spans="1:13" ht="12.75" customHeight="1" x14ac:dyDescent="0.25">
      <c r="B52" s="27" t="s">
        <v>182</v>
      </c>
      <c r="C52" s="61"/>
      <c r="D52" s="52"/>
      <c r="E52" s="52"/>
      <c r="F52" s="563"/>
      <c r="G52" s="329"/>
      <c r="H52" s="200" t="s">
        <v>6</v>
      </c>
      <c r="I52" s="309"/>
      <c r="J52" s="1"/>
      <c r="K52" s="554"/>
    </row>
    <row r="53" spans="1:13" ht="12.75" customHeight="1" x14ac:dyDescent="0.25">
      <c r="B53" s="27" t="s">
        <v>186</v>
      </c>
      <c r="C53" s="61"/>
      <c r="D53" s="52"/>
      <c r="E53" s="52"/>
      <c r="F53" s="563"/>
      <c r="G53" s="329"/>
      <c r="H53" s="200" t="s">
        <v>57</v>
      </c>
      <c r="I53" s="309"/>
      <c r="J53" s="1"/>
      <c r="K53" s="554"/>
    </row>
    <row r="54" spans="1:13" ht="12.75" customHeight="1" x14ac:dyDescent="0.25">
      <c r="B54" s="27" t="s">
        <v>187</v>
      </c>
      <c r="C54" s="61"/>
      <c r="D54" s="52"/>
      <c r="E54" s="52"/>
      <c r="F54" s="563"/>
      <c r="G54" s="329"/>
      <c r="H54" s="200" t="s">
        <v>57</v>
      </c>
      <c r="I54" s="309"/>
      <c r="J54" s="1"/>
      <c r="K54" s="554"/>
    </row>
    <row r="55" spans="1:13" ht="4.5" customHeight="1" x14ac:dyDescent="0.2">
      <c r="A55" s="40"/>
      <c r="B55" s="40"/>
      <c r="C55" s="1"/>
      <c r="D55" s="203"/>
      <c r="E55" s="203"/>
      <c r="F55" s="203"/>
      <c r="H55" s="203"/>
      <c r="I55" s="309"/>
      <c r="K55" s="1"/>
    </row>
    <row r="56" spans="1:13" ht="12.75" customHeight="1" x14ac:dyDescent="0.2">
      <c r="B56" s="25" t="s">
        <v>45</v>
      </c>
      <c r="C56" s="1"/>
      <c r="D56" s="202"/>
      <c r="E56" s="203"/>
      <c r="F56" s="222">
        <f>SUM(F41:F54)</f>
        <v>25</v>
      </c>
      <c r="H56" s="203"/>
      <c r="I56" s="309"/>
      <c r="K56" s="1"/>
    </row>
    <row r="57" spans="1:13" ht="12" customHeight="1" x14ac:dyDescent="0.2">
      <c r="B57" s="40"/>
      <c r="C57" s="1"/>
      <c r="D57" s="203"/>
      <c r="E57" s="203"/>
      <c r="F57" s="203"/>
      <c r="H57" s="203"/>
      <c r="I57" s="309"/>
      <c r="K57" s="1"/>
    </row>
    <row r="58" spans="1:13" ht="12.75" customHeight="1" x14ac:dyDescent="0.2">
      <c r="A58" s="340" t="s">
        <v>171</v>
      </c>
      <c r="B58" s="341"/>
      <c r="C58" s="341"/>
      <c r="D58" s="341"/>
      <c r="E58" s="341"/>
      <c r="F58" s="341"/>
      <c r="G58" s="341"/>
      <c r="H58" s="341"/>
      <c r="I58" s="359"/>
      <c r="K58" s="18"/>
    </row>
    <row r="59" spans="1:13" ht="4.5" customHeight="1" x14ac:dyDescent="0.2">
      <c r="A59" s="205"/>
      <c r="B59" s="205"/>
      <c r="C59" s="205"/>
      <c r="D59" s="205"/>
      <c r="F59" s="8"/>
      <c r="I59" s="1"/>
      <c r="K59" s="18"/>
    </row>
    <row r="60" spans="1:13" ht="14.25" customHeight="1" x14ac:dyDescent="0.2">
      <c r="A60" s="206" t="s">
        <v>11</v>
      </c>
      <c r="B60" s="206"/>
      <c r="C60" s="1"/>
      <c r="F60" s="230">
        <f>I36</f>
        <v>2116000</v>
      </c>
      <c r="I60" s="1"/>
      <c r="K60" s="18"/>
    </row>
    <row r="61" spans="1:13" s="258" customFormat="1" ht="14.25" customHeight="1" x14ac:dyDescent="0.3">
      <c r="A61" s="257" t="s">
        <v>78</v>
      </c>
      <c r="B61" s="257"/>
      <c r="C61" s="257"/>
      <c r="F61" s="260">
        <f>0.03*F56+0.73</f>
        <v>1.48</v>
      </c>
      <c r="H61" s="261"/>
      <c r="I61" s="446"/>
      <c r="K61" s="18"/>
    </row>
    <row r="62" spans="1:13" ht="14.25" customHeight="1" x14ac:dyDescent="0.25">
      <c r="A62" s="28" t="s">
        <v>81</v>
      </c>
      <c r="B62" s="28"/>
      <c r="C62" s="28"/>
      <c r="D62" s="1"/>
      <c r="E62" s="1"/>
      <c r="F62" s="251">
        <f>ROUND(IF(F60&lt;2000000,202*F60^(-0.2248)*F61/100,(37.8*F60^(-0.109)*F61/100)),4)</f>
        <v>0.1144</v>
      </c>
      <c r="I62" s="499"/>
      <c r="K62" s="18"/>
    </row>
    <row r="63" spans="1:13" s="258" customFormat="1" ht="14.25" customHeight="1" x14ac:dyDescent="0.3">
      <c r="A63" s="257" t="s">
        <v>93</v>
      </c>
      <c r="B63" s="257"/>
      <c r="C63" s="257"/>
      <c r="F63" s="439">
        <f>202*F60^(-0.2248)*F61/100</f>
        <v>0.11314546815208398</v>
      </c>
      <c r="G63" s="259" t="str">
        <f>IF(F60&lt;2000000,"(PL + ÖBA)","")</f>
        <v/>
      </c>
      <c r="I63" s="446"/>
      <c r="K63" s="18"/>
    </row>
    <row r="64" spans="1:13" s="258" customFormat="1" ht="14.25" customHeight="1" x14ac:dyDescent="0.3">
      <c r="A64" s="257" t="s">
        <v>94</v>
      </c>
      <c r="B64" s="257"/>
      <c r="C64" s="257"/>
      <c r="D64" s="257"/>
      <c r="F64" s="439">
        <f>37.8*F60^(-0.109)*F61/100</f>
        <v>0.11435951581197221</v>
      </c>
      <c r="H64" s="259" t="str">
        <f>IF(F60&gt;1999999.99,"(PL + ÖBA)","")</f>
        <v>(PL + ÖBA)</v>
      </c>
      <c r="I64" s="446"/>
      <c r="K64" s="18"/>
    </row>
    <row r="65" spans="1:18" ht="14.25" customHeight="1" x14ac:dyDescent="0.3">
      <c r="A65" s="311" t="s">
        <v>214</v>
      </c>
      <c r="B65" s="25"/>
      <c r="C65" s="25"/>
      <c r="D65" s="312"/>
      <c r="E65" s="208"/>
      <c r="F65" s="323">
        <f>ROUND(F60*F62,2)</f>
        <v>242070.39999999999</v>
      </c>
      <c r="G65" s="551" t="s">
        <v>174</v>
      </c>
      <c r="H65" s="209"/>
      <c r="I65" s="1"/>
      <c r="K65" s="18"/>
    </row>
    <row r="66" spans="1:18" ht="15" customHeight="1" x14ac:dyDescent="0.2">
      <c r="A66" s="311"/>
      <c r="B66" s="25"/>
      <c r="C66" s="25"/>
      <c r="D66" s="312"/>
      <c r="E66" s="208"/>
      <c r="F66" s="326"/>
      <c r="G66" s="209"/>
      <c r="H66" s="209"/>
      <c r="I66" s="1"/>
      <c r="K66" s="18"/>
    </row>
    <row r="67" spans="1:18" ht="15" customHeight="1" x14ac:dyDescent="0.2">
      <c r="A67" s="350" t="s">
        <v>170</v>
      </c>
      <c r="B67" s="351"/>
      <c r="C67" s="351"/>
      <c r="D67" s="352"/>
      <c r="E67" s="352"/>
      <c r="F67" s="346"/>
      <c r="G67" s="353"/>
      <c r="H67" s="353"/>
      <c r="I67" s="358"/>
    </row>
    <row r="68" spans="1:18" ht="4.5" customHeight="1" x14ac:dyDescent="0.2">
      <c r="A68" s="39"/>
      <c r="B68" s="40"/>
      <c r="C68" s="40"/>
      <c r="D68" s="208"/>
      <c r="E68" s="208"/>
      <c r="F68" s="208"/>
      <c r="G68" s="209"/>
      <c r="H68" s="209"/>
      <c r="I68" s="57"/>
      <c r="J68" s="41"/>
    </row>
    <row r="69" spans="1:18" ht="12.75" customHeight="1" x14ac:dyDescent="0.25">
      <c r="A69" s="210" t="s">
        <v>53</v>
      </c>
      <c r="B69" s="210"/>
      <c r="C69" s="420"/>
      <c r="D69" s="1"/>
      <c r="E69" s="287">
        <v>0.02</v>
      </c>
      <c r="F69" s="243">
        <v>0.02</v>
      </c>
      <c r="H69" s="212">
        <v>1</v>
      </c>
      <c r="I69" s="621">
        <f>IF($F$60=0,"-",$F$65*F69)</f>
        <v>4841.4080000000004</v>
      </c>
      <c r="J69" s="188"/>
      <c r="R69" s="73"/>
    </row>
    <row r="70" spans="1:18" ht="12.75" customHeight="1" x14ac:dyDescent="0.25">
      <c r="A70" s="210" t="s">
        <v>36</v>
      </c>
      <c r="B70" s="210"/>
      <c r="C70" s="420"/>
      <c r="D70" s="1"/>
      <c r="E70" s="288">
        <v>0.08</v>
      </c>
      <c r="F70" s="429">
        <v>0.08</v>
      </c>
      <c r="H70" s="212">
        <v>2</v>
      </c>
      <c r="I70" s="621">
        <f t="shared" ref="I70:I81" si="1">IF($F$60=0,"-",$F$65*F70)</f>
        <v>19365.632000000001</v>
      </c>
      <c r="J70" s="188"/>
    </row>
    <row r="71" spans="1:18" ht="12.75" customHeight="1" x14ac:dyDescent="0.25">
      <c r="A71" s="210" t="s">
        <v>37</v>
      </c>
      <c r="B71" s="210"/>
      <c r="C71" s="420"/>
      <c r="D71" s="1"/>
      <c r="E71" s="288">
        <v>0.12</v>
      </c>
      <c r="F71" s="429">
        <v>0.12</v>
      </c>
      <c r="H71" s="212">
        <v>3</v>
      </c>
      <c r="I71" s="621">
        <f t="shared" si="1"/>
        <v>29048.447999999997</v>
      </c>
      <c r="J71" s="188"/>
    </row>
    <row r="72" spans="1:18" ht="12.75" customHeight="1" x14ac:dyDescent="0.25">
      <c r="A72" s="210" t="s">
        <v>38</v>
      </c>
      <c r="B72" s="210"/>
      <c r="C72" s="420"/>
      <c r="D72" s="1"/>
      <c r="E72" s="288">
        <v>0.05</v>
      </c>
      <c r="F72" s="429">
        <v>0.05</v>
      </c>
      <c r="H72" s="212">
        <v>4</v>
      </c>
      <c r="I72" s="621">
        <f t="shared" si="1"/>
        <v>12103.52</v>
      </c>
      <c r="J72" s="188"/>
      <c r="L72" s="1" t="s">
        <v>95</v>
      </c>
    </row>
    <row r="73" spans="1:18" ht="12.75" customHeight="1" x14ac:dyDescent="0.25">
      <c r="A73" s="210" t="s">
        <v>39</v>
      </c>
      <c r="B73" s="210"/>
      <c r="C73" s="420"/>
      <c r="D73" s="1"/>
      <c r="E73" s="288">
        <v>0.22</v>
      </c>
      <c r="F73" s="429">
        <v>0.22</v>
      </c>
      <c r="H73" s="212">
        <v>5</v>
      </c>
      <c r="I73" s="621">
        <f t="shared" si="1"/>
        <v>53255.487999999998</v>
      </c>
      <c r="J73" s="188"/>
    </row>
    <row r="74" spans="1:18" ht="12.75" customHeight="1" x14ac:dyDescent="0.25">
      <c r="A74" s="210" t="s">
        <v>40</v>
      </c>
      <c r="B74" s="210"/>
      <c r="C74" s="420"/>
      <c r="D74" s="1"/>
      <c r="E74" s="288">
        <v>7.0000000000000007E-2</v>
      </c>
      <c r="F74" s="429">
        <v>7.0000000000000007E-2</v>
      </c>
      <c r="H74" s="212">
        <v>6</v>
      </c>
      <c r="I74" s="621">
        <f t="shared" si="1"/>
        <v>16944.928</v>
      </c>
      <c r="J74" s="188"/>
    </row>
    <row r="75" spans="1:18" ht="12.75" customHeight="1" x14ac:dyDescent="0.25">
      <c r="A75" s="210" t="s">
        <v>61</v>
      </c>
      <c r="B75" s="210"/>
      <c r="C75" s="420"/>
      <c r="D75" s="1"/>
      <c r="E75" s="288">
        <v>0.03</v>
      </c>
      <c r="F75" s="429">
        <v>0.03</v>
      </c>
      <c r="H75" s="212"/>
      <c r="I75" s="621">
        <f t="shared" si="1"/>
        <v>7262.1119999999992</v>
      </c>
      <c r="J75" s="188"/>
    </row>
    <row r="76" spans="1:18" ht="12.75" customHeight="1" x14ac:dyDescent="0.25">
      <c r="A76" s="210" t="s">
        <v>54</v>
      </c>
      <c r="B76" s="210"/>
      <c r="C76" s="420"/>
      <c r="D76" s="1"/>
      <c r="E76" s="288">
        <v>0.04</v>
      </c>
      <c r="F76" s="429">
        <v>0.04</v>
      </c>
      <c r="H76" s="212">
        <v>7</v>
      </c>
      <c r="I76" s="621">
        <f t="shared" si="1"/>
        <v>9682.8160000000007</v>
      </c>
      <c r="J76" s="188"/>
    </row>
    <row r="77" spans="1:18" ht="12.75" customHeight="1" x14ac:dyDescent="0.25">
      <c r="A77" s="193" t="s">
        <v>80</v>
      </c>
      <c r="B77" s="193"/>
      <c r="C77" s="420"/>
      <c r="D77" s="1"/>
      <c r="E77" s="288">
        <v>0.35</v>
      </c>
      <c r="F77" s="429">
        <v>0.35</v>
      </c>
      <c r="H77" s="212">
        <v>8</v>
      </c>
      <c r="I77" s="621">
        <f t="shared" si="1"/>
        <v>84724.64</v>
      </c>
      <c r="J77" s="188"/>
      <c r="K77" s="709" t="s">
        <v>290</v>
      </c>
    </row>
    <row r="78" spans="1:18" ht="12.75" customHeight="1" x14ac:dyDescent="0.25">
      <c r="A78" s="294" t="s">
        <v>55</v>
      </c>
      <c r="B78" s="294"/>
      <c r="C78" s="295"/>
      <c r="D78" s="1"/>
      <c r="E78" s="292">
        <v>0.02</v>
      </c>
      <c r="F78" s="430">
        <v>0.02</v>
      </c>
      <c r="H78" s="296">
        <v>9</v>
      </c>
      <c r="I78" s="621">
        <f t="shared" si="1"/>
        <v>4841.4080000000004</v>
      </c>
      <c r="J78" s="188"/>
      <c r="K78" s="711" t="s">
        <v>292</v>
      </c>
    </row>
    <row r="79" spans="1:18" s="303" customFormat="1" ht="12.75" customHeight="1" x14ac:dyDescent="0.25">
      <c r="A79" s="580" t="s">
        <v>164</v>
      </c>
      <c r="B79" s="580"/>
      <c r="C79" s="581"/>
      <c r="E79" s="582"/>
      <c r="F79" s="609">
        <v>0</v>
      </c>
      <c r="I79" s="622">
        <f t="shared" si="1"/>
        <v>0</v>
      </c>
      <c r="J79" s="301"/>
      <c r="K79" s="712" t="s">
        <v>294</v>
      </c>
      <c r="L79" s="302"/>
      <c r="M79" s="302"/>
    </row>
    <row r="80" spans="1:18" s="303" customFormat="1" ht="12.75" customHeight="1" x14ac:dyDescent="0.25">
      <c r="A80" s="580" t="s">
        <v>164</v>
      </c>
      <c r="B80" s="580"/>
      <c r="C80" s="581"/>
      <c r="E80" s="582"/>
      <c r="F80" s="609">
        <v>0</v>
      </c>
      <c r="I80" s="622">
        <f t="shared" si="1"/>
        <v>0</v>
      </c>
      <c r="J80" s="301"/>
      <c r="K80" s="712" t="s">
        <v>298</v>
      </c>
      <c r="L80" s="302"/>
      <c r="M80" s="302"/>
    </row>
    <row r="81" spans="1:14" s="303" customFormat="1" ht="12.75" customHeight="1" x14ac:dyDescent="0.25">
      <c r="A81" s="297" t="s">
        <v>164</v>
      </c>
      <c r="B81" s="297"/>
      <c r="C81" s="298"/>
      <c r="D81" s="299"/>
      <c r="E81" s="300"/>
      <c r="F81" s="610">
        <v>0</v>
      </c>
      <c r="G81" s="299"/>
      <c r="I81" s="622">
        <f t="shared" si="1"/>
        <v>0</v>
      </c>
      <c r="J81" s="301"/>
      <c r="K81" s="712" t="s">
        <v>337</v>
      </c>
      <c r="L81" s="302"/>
      <c r="M81" s="302"/>
    </row>
    <row r="82" spans="1:14" s="258" customFormat="1" ht="13.5" customHeight="1" x14ac:dyDescent="0.25">
      <c r="A82" s="213" t="s">
        <v>190</v>
      </c>
      <c r="B82" s="262"/>
      <c r="C82" s="257"/>
      <c r="E82" s="613">
        <f>SUM(E69:E78)</f>
        <v>1</v>
      </c>
      <c r="F82" s="264">
        <f>SUM(F69:F81)</f>
        <v>1</v>
      </c>
      <c r="H82" s="618"/>
      <c r="I82" s="623">
        <f>SUM(I69:I81)</f>
        <v>242070.39999999997</v>
      </c>
      <c r="J82" s="265"/>
      <c r="K82" s="59"/>
    </row>
    <row r="83" spans="1:14" ht="12.75" customHeight="1" x14ac:dyDescent="0.25">
      <c r="F83" s="139"/>
      <c r="J83" s="488"/>
    </row>
    <row r="84" spans="1:14" ht="12.75" customHeight="1" x14ac:dyDescent="0.2">
      <c r="A84" s="498" t="s">
        <v>172</v>
      </c>
      <c r="B84" s="498"/>
      <c r="C84" s="498"/>
      <c r="D84" s="498"/>
      <c r="E84" s="498"/>
      <c r="F84" s="498"/>
      <c r="G84" s="498"/>
      <c r="H84" s="498"/>
      <c r="I84" s="498"/>
      <c r="J84" s="147"/>
      <c r="K84" s="3"/>
      <c r="L84" s="143"/>
      <c r="M84" s="143"/>
    </row>
    <row r="85" spans="1:14" s="32" customFormat="1" ht="4.5" customHeight="1" x14ac:dyDescent="0.2">
      <c r="B85" s="33"/>
      <c r="C85" s="34"/>
      <c r="D85" s="34"/>
      <c r="E85" s="65"/>
      <c r="F85" s="67"/>
      <c r="G85" s="93"/>
      <c r="H85" s="93"/>
      <c r="I85" s="119"/>
      <c r="K85" s="36"/>
    </row>
    <row r="86" spans="1:14" ht="12.75" customHeight="1" x14ac:dyDescent="0.3">
      <c r="A86" s="311" t="s">
        <v>79</v>
      </c>
      <c r="B86" s="477"/>
      <c r="C86" s="477"/>
      <c r="D86" s="477"/>
      <c r="E86" s="316"/>
      <c r="F86" s="500"/>
      <c r="G86" s="828"/>
      <c r="H86" s="829"/>
      <c r="I86" s="171">
        <f>I82</f>
        <v>242070.39999999997</v>
      </c>
      <c r="J86" s="477"/>
      <c r="K86" s="478"/>
      <c r="L86" s="478"/>
      <c r="M86" s="478"/>
    </row>
    <row r="87" spans="1:14" ht="12.75" customHeight="1" x14ac:dyDescent="0.25">
      <c r="A87" s="48" t="s">
        <v>113</v>
      </c>
      <c r="F87" s="496">
        <v>0</v>
      </c>
      <c r="G87" s="572"/>
      <c r="H87" s="497">
        <v>0</v>
      </c>
      <c r="I87" s="599">
        <f>F87*H87</f>
        <v>0</v>
      </c>
      <c r="L87" s="478"/>
      <c r="M87" s="478"/>
      <c r="N87" s="478"/>
    </row>
    <row r="88" spans="1:14" s="32" customFormat="1" ht="4.5" customHeight="1" x14ac:dyDescent="0.2">
      <c r="B88" s="33"/>
      <c r="C88" s="34"/>
      <c r="D88" s="34"/>
      <c r="E88" s="65"/>
      <c r="F88" s="67"/>
      <c r="G88" s="93"/>
      <c r="H88" s="93"/>
      <c r="I88" s="119"/>
      <c r="K88" s="36"/>
    </row>
    <row r="89" spans="1:14" s="32" customFormat="1" ht="12.75" x14ac:dyDescent="0.2">
      <c r="A89" s="480" t="s">
        <v>219</v>
      </c>
      <c r="B89" s="481"/>
      <c r="C89" s="482"/>
      <c r="D89" s="482"/>
      <c r="E89" s="483"/>
      <c r="F89" s="485"/>
      <c r="G89" s="483"/>
      <c r="H89" s="483"/>
      <c r="I89" s="484">
        <f>I86+I87</f>
        <v>242070.39999999997</v>
      </c>
      <c r="K89" s="36"/>
    </row>
    <row r="90" spans="1:14" s="32" customFormat="1" ht="4.5" customHeight="1" x14ac:dyDescent="0.2">
      <c r="B90" s="33"/>
      <c r="C90" s="34"/>
      <c r="D90" s="34"/>
      <c r="E90" s="65"/>
      <c r="F90" s="67"/>
      <c r="G90" s="93"/>
      <c r="H90" s="93"/>
      <c r="I90" s="119"/>
      <c r="K90" s="36"/>
    </row>
    <row r="91" spans="1:14" s="32" customFormat="1" ht="12.75" x14ac:dyDescent="0.2">
      <c r="A91" s="68" t="s">
        <v>13</v>
      </c>
      <c r="B91" s="33"/>
      <c r="C91" s="34"/>
      <c r="D91" s="34"/>
      <c r="E91" s="76"/>
      <c r="F91" s="495">
        <v>0.04</v>
      </c>
      <c r="G91" s="334"/>
      <c r="H91" s="94"/>
      <c r="I91" s="120">
        <f>ROUND(I89*F91,2)</f>
        <v>9682.82</v>
      </c>
      <c r="K91" s="36"/>
    </row>
    <row r="92" spans="1:14" s="32" customFormat="1" ht="3" customHeight="1" x14ac:dyDescent="0.2">
      <c r="A92" s="69"/>
      <c r="B92" s="70"/>
      <c r="C92" s="71"/>
      <c r="D92" s="71"/>
      <c r="E92" s="77"/>
      <c r="F92" s="240"/>
      <c r="G92" s="249"/>
      <c r="H92" s="95"/>
      <c r="I92" s="121"/>
      <c r="K92" s="36"/>
    </row>
    <row r="93" spans="1:14" s="32" customFormat="1" ht="3" customHeight="1" x14ac:dyDescent="0.2">
      <c r="B93" s="33"/>
      <c r="C93" s="34"/>
      <c r="D93" s="34"/>
      <c r="E93" s="79"/>
      <c r="F93" s="241"/>
      <c r="G93" s="335"/>
      <c r="H93" s="96"/>
      <c r="I93" s="119"/>
      <c r="K93" s="36"/>
    </row>
    <row r="94" spans="1:14" s="32" customFormat="1" ht="12.75" x14ac:dyDescent="0.2">
      <c r="A94" s="480" t="s">
        <v>220</v>
      </c>
      <c r="B94" s="481"/>
      <c r="C94" s="482"/>
      <c r="D94" s="482"/>
      <c r="E94" s="363"/>
      <c r="F94" s="362"/>
      <c r="G94" s="362"/>
      <c r="H94" s="360"/>
      <c r="I94" s="484">
        <f>I89+I91</f>
        <v>251753.21999999997</v>
      </c>
      <c r="K94" s="36"/>
    </row>
    <row r="95" spans="1:14" s="32" customFormat="1" ht="4.5" customHeight="1" x14ac:dyDescent="0.2">
      <c r="A95" s="73"/>
      <c r="B95" s="74"/>
      <c r="C95" s="75"/>
      <c r="D95" s="75"/>
      <c r="E95" s="35"/>
      <c r="F95" s="238"/>
      <c r="G95" s="336"/>
      <c r="H95" s="94"/>
      <c r="I95" s="122"/>
      <c r="K95" s="36"/>
    </row>
    <row r="96" spans="1:14" s="32" customFormat="1" ht="12.75" x14ac:dyDescent="0.2">
      <c r="A96" s="159" t="s">
        <v>150</v>
      </c>
      <c r="B96" s="74"/>
      <c r="C96" s="75"/>
      <c r="D96" s="75"/>
      <c r="E96" s="35"/>
      <c r="F96" s="495">
        <v>0</v>
      </c>
      <c r="G96" s="94"/>
      <c r="H96" s="37"/>
      <c r="I96" s="120">
        <f>ROUND(I94*F96,2)</f>
        <v>0</v>
      </c>
      <c r="K96" s="36"/>
    </row>
    <row r="97" spans="1:11" s="32" customFormat="1" ht="3" customHeight="1" x14ac:dyDescent="0.2">
      <c r="A97" s="69"/>
      <c r="B97" s="70"/>
      <c r="C97" s="71"/>
      <c r="D97" s="71"/>
      <c r="E97" s="77"/>
      <c r="F97" s="240"/>
      <c r="G97" s="249"/>
      <c r="H97" s="95"/>
      <c r="I97" s="121"/>
      <c r="K97" s="36"/>
    </row>
    <row r="98" spans="1:11" s="32" customFormat="1" ht="3" customHeight="1" x14ac:dyDescent="0.2">
      <c r="B98" s="33"/>
      <c r="C98" s="34"/>
      <c r="D98" s="34"/>
      <c r="E98" s="79"/>
      <c r="F98" s="241"/>
      <c r="G98" s="335"/>
      <c r="H98" s="96"/>
      <c r="I98" s="119"/>
      <c r="K98" s="36"/>
    </row>
    <row r="99" spans="1:11" s="32" customFormat="1" ht="12.75" x14ac:dyDescent="0.2">
      <c r="A99" s="480" t="s">
        <v>221</v>
      </c>
      <c r="B99" s="481"/>
      <c r="C99" s="482"/>
      <c r="D99" s="482"/>
      <c r="E99" s="363"/>
      <c r="F99" s="362"/>
      <c r="G99" s="362"/>
      <c r="H99" s="360"/>
      <c r="I99" s="484">
        <f>I94+I96</f>
        <v>251753.21999999997</v>
      </c>
      <c r="K99" s="36"/>
    </row>
    <row r="100" spans="1:11" s="32" customFormat="1" ht="4.5" customHeight="1" x14ac:dyDescent="0.2">
      <c r="A100" s="73"/>
      <c r="B100" s="74"/>
      <c r="C100" s="75"/>
      <c r="D100" s="75"/>
      <c r="E100" s="35"/>
      <c r="F100" s="238"/>
      <c r="G100" s="336"/>
      <c r="H100" s="94"/>
      <c r="I100" s="122"/>
      <c r="K100" s="36"/>
    </row>
    <row r="101" spans="1:11" s="32" customFormat="1" ht="12.75" x14ac:dyDescent="0.2">
      <c r="A101" s="32" t="s">
        <v>14</v>
      </c>
      <c r="B101" s="33"/>
      <c r="D101" s="34"/>
      <c r="E101" s="72"/>
      <c r="F101" s="38">
        <v>0.2</v>
      </c>
      <c r="G101" s="38"/>
      <c r="H101" s="38"/>
      <c r="I101" s="123">
        <f>ROUND(I94*F101,2)</f>
        <v>50350.64</v>
      </c>
      <c r="K101" s="36"/>
    </row>
    <row r="102" spans="1:11" s="32" customFormat="1" ht="3" customHeight="1" x14ac:dyDescent="0.2">
      <c r="A102" s="37"/>
      <c r="B102" s="231"/>
      <c r="C102" s="78"/>
      <c r="D102" s="78"/>
      <c r="E102" s="72"/>
      <c r="F102" s="67"/>
      <c r="G102" s="93"/>
      <c r="H102" s="93"/>
      <c r="I102" s="124"/>
      <c r="K102" s="36"/>
    </row>
    <row r="103" spans="1:11" s="37" customFormat="1" ht="12.75" x14ac:dyDescent="0.2">
      <c r="A103" s="489" t="s">
        <v>222</v>
      </c>
      <c r="B103" s="494"/>
      <c r="C103" s="490"/>
      <c r="D103" s="490"/>
      <c r="E103" s="491"/>
      <c r="F103" s="492"/>
      <c r="G103" s="492"/>
      <c r="H103" s="492"/>
      <c r="I103" s="493">
        <f>SUM(I99:I101)</f>
        <v>302103.86</v>
      </c>
      <c r="K103" s="36"/>
    </row>
    <row r="104" spans="1:11" ht="5.0999999999999996" customHeight="1" x14ac:dyDescent="0.2">
      <c r="F104" s="8"/>
      <c r="G104" s="42"/>
    </row>
  </sheetData>
  <mergeCells count="19">
    <mergeCell ref="A20:B20"/>
    <mergeCell ref="F2:I2"/>
    <mergeCell ref="A7:B7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G86:H86"/>
    <mergeCell ref="A30:B30"/>
    <mergeCell ref="A32:B32"/>
    <mergeCell ref="A22:B22"/>
    <mergeCell ref="A24:B24"/>
    <mergeCell ref="A26:B26"/>
    <mergeCell ref="A28:B28"/>
  </mergeCells>
  <conditionalFormatting sqref="F63">
    <cfRule type="expression" dxfId="9" priority="2" stopIfTrue="1">
      <formula>$F$60&gt;1999999.99</formula>
    </cfRule>
  </conditionalFormatting>
  <conditionalFormatting sqref="F64">
    <cfRule type="expression" dxfId="8" priority="1" stopIfTrue="1">
      <formula>$F$60&lt;2000000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&amp;L&amp;"Arial,Standard"&amp;9&amp;K01+011Seite &amp;P von &amp;N                              Juni 2018&amp;R&amp;"Arial,Fett"&amp;9&amp;K01+011Leitfaden Vergabe technische Beratung &amp; Planung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theme="0" tint="-0.34998626667073579"/>
  </sheetPr>
  <dimension ref="A1:R105"/>
  <sheetViews>
    <sheetView showGridLines="0" tabSelected="1" view="pageLayout" zoomScale="70" zoomScaleNormal="85" zoomScaleSheetLayoutView="85" zoomScalePageLayoutView="7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5.7109375" style="1" customWidth="1"/>
    <col min="13" max="16384" width="11.5703125" style="1"/>
  </cols>
  <sheetData>
    <row r="1" spans="1:11" ht="5.0999999999999996" customHeight="1" x14ac:dyDescent="0.2"/>
    <row r="2" spans="1:11" s="54" customFormat="1" ht="35.1" customHeight="1" x14ac:dyDescent="0.2">
      <c r="C2" s="13"/>
      <c r="D2" s="103"/>
      <c r="F2" s="820" t="s">
        <v>340</v>
      </c>
      <c r="G2" s="820"/>
      <c r="H2" s="820"/>
      <c r="I2" s="820"/>
      <c r="J2" s="590"/>
      <c r="K2" s="62"/>
    </row>
    <row r="3" spans="1:11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J5" s="45"/>
    </row>
    <row r="6" spans="1:11" s="11" customFormat="1" ht="6" customHeight="1" x14ac:dyDescent="0.25">
      <c r="F6" s="98"/>
      <c r="I6" s="2"/>
      <c r="J6" s="2"/>
    </row>
    <row r="7" spans="1:11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F7/F34</f>
        <v>2.1739888766278866E-3</v>
      </c>
      <c r="F7" s="389">
        <f>Projektkennwerte!M8</f>
        <v>70000</v>
      </c>
      <c r="G7" s="104"/>
      <c r="H7" s="135">
        <v>0</v>
      </c>
      <c r="I7" s="38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G8" s="1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597">
        <f>F9/F34</f>
        <v>0.27951285556644256</v>
      </c>
      <c r="F9" s="389">
        <f>Projektkennwerte!M10</f>
        <v>9000000</v>
      </c>
      <c r="G9" s="104"/>
      <c r="H9" s="135">
        <v>0</v>
      </c>
      <c r="I9" s="389">
        <f>F9*H9</f>
        <v>0</v>
      </c>
      <c r="K9" s="50"/>
    </row>
    <row r="10" spans="1:11" ht="2.25" customHeight="1" x14ac:dyDescent="0.2">
      <c r="B10" s="4"/>
      <c r="C10" s="6"/>
      <c r="D10" s="1"/>
      <c r="E10" s="161"/>
      <c r="F10" s="174"/>
      <c r="G10" s="1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F11/F34</f>
        <v>0.25156157000979829</v>
      </c>
      <c r="F11" s="389">
        <f>Projektkennwerte!M12</f>
        <v>8100000</v>
      </c>
      <c r="G11" s="104"/>
      <c r="H11" s="633"/>
      <c r="I11" s="158"/>
      <c r="K11" s="50"/>
    </row>
    <row r="12" spans="1:11" ht="12.95" customHeight="1" x14ac:dyDescent="0.2">
      <c r="A12" s="840">
        <v>3</v>
      </c>
      <c r="B12" s="840"/>
      <c r="C12" s="109" t="s">
        <v>17</v>
      </c>
      <c r="D12" s="110" t="s">
        <v>18</v>
      </c>
      <c r="E12" s="162"/>
      <c r="F12" s="176">
        <f>_3Sanitär</f>
        <v>900000</v>
      </c>
      <c r="G12" s="104"/>
      <c r="H12" s="136">
        <v>0</v>
      </c>
      <c r="I12" s="180">
        <f t="shared" ref="I12:I20" si="0">F12*H12</f>
        <v>0</v>
      </c>
      <c r="K12" s="50"/>
    </row>
    <row r="13" spans="1:11" ht="12.95" customHeight="1" x14ac:dyDescent="0.2">
      <c r="A13" s="842">
        <v>3</v>
      </c>
      <c r="B13" s="842"/>
      <c r="C13" s="111" t="s">
        <v>19</v>
      </c>
      <c r="D13" s="112" t="s">
        <v>26</v>
      </c>
      <c r="E13" s="163"/>
      <c r="F13" s="177">
        <f>_3Heizung</f>
        <v>1000000</v>
      </c>
      <c r="G13" s="104"/>
      <c r="H13" s="136">
        <v>0</v>
      </c>
      <c r="I13" s="235">
        <f t="shared" si="0"/>
        <v>0</v>
      </c>
      <c r="K13" s="50"/>
    </row>
    <row r="14" spans="1:11" ht="12.95" customHeight="1" x14ac:dyDescent="0.2">
      <c r="A14" s="842">
        <v>3</v>
      </c>
      <c r="B14" s="842"/>
      <c r="C14" s="111" t="s">
        <v>20</v>
      </c>
      <c r="D14" s="112" t="s">
        <v>27</v>
      </c>
      <c r="E14" s="163"/>
      <c r="F14" s="178">
        <f>_3Lüftung</f>
        <v>1000000</v>
      </c>
      <c r="G14" s="104"/>
      <c r="H14" s="136">
        <v>0</v>
      </c>
      <c r="I14" s="235">
        <f t="shared" si="0"/>
        <v>0</v>
      </c>
      <c r="K14" s="50"/>
    </row>
    <row r="15" spans="1:11" ht="12.95" customHeight="1" x14ac:dyDescent="0.2">
      <c r="A15" s="842">
        <v>3</v>
      </c>
      <c r="B15" s="842"/>
      <c r="C15" s="111" t="s">
        <v>21</v>
      </c>
      <c r="D15" s="112" t="s">
        <v>28</v>
      </c>
      <c r="E15" s="163"/>
      <c r="F15" s="178">
        <f>_3Elektro</f>
        <v>1500000</v>
      </c>
      <c r="G15" s="104"/>
      <c r="H15" s="136">
        <v>0</v>
      </c>
      <c r="I15" s="235">
        <f t="shared" si="0"/>
        <v>0</v>
      </c>
      <c r="K15" s="50"/>
    </row>
    <row r="16" spans="1:11" ht="12.95" customHeight="1" x14ac:dyDescent="0.2">
      <c r="A16" s="842">
        <v>3</v>
      </c>
      <c r="B16" s="842"/>
      <c r="C16" s="111" t="s">
        <v>22</v>
      </c>
      <c r="D16" s="112" t="s">
        <v>31</v>
      </c>
      <c r="E16" s="163"/>
      <c r="F16" s="178">
        <f>_3IT</f>
        <v>600000</v>
      </c>
      <c r="G16" s="104"/>
      <c r="H16" s="136">
        <v>0</v>
      </c>
      <c r="I16" s="235">
        <f t="shared" si="0"/>
        <v>0</v>
      </c>
      <c r="K16" s="50"/>
    </row>
    <row r="17" spans="1:11" ht="12.95" customHeight="1" x14ac:dyDescent="0.2">
      <c r="A17" s="842">
        <v>3</v>
      </c>
      <c r="B17" s="842"/>
      <c r="C17" s="111" t="s">
        <v>23</v>
      </c>
      <c r="D17" s="112" t="s">
        <v>29</v>
      </c>
      <c r="E17" s="163"/>
      <c r="F17" s="178">
        <f>_3Föte</f>
        <v>1500000</v>
      </c>
      <c r="G17" s="104"/>
      <c r="H17" s="136">
        <v>1</v>
      </c>
      <c r="I17" s="235">
        <f t="shared" si="0"/>
        <v>1500000</v>
      </c>
      <c r="K17" s="50"/>
    </row>
    <row r="18" spans="1:11" ht="12.95" customHeight="1" x14ac:dyDescent="0.2">
      <c r="A18" s="842">
        <v>3</v>
      </c>
      <c r="B18" s="842"/>
      <c r="C18" s="111" t="s">
        <v>24</v>
      </c>
      <c r="D18" s="112" t="s">
        <v>30</v>
      </c>
      <c r="E18" s="163"/>
      <c r="F18" s="178">
        <f>_3Nutzer</f>
        <v>300000</v>
      </c>
      <c r="G18" s="104"/>
      <c r="H18" s="136">
        <v>0</v>
      </c>
      <c r="I18" s="235">
        <f t="shared" si="0"/>
        <v>0</v>
      </c>
      <c r="K18" s="50"/>
    </row>
    <row r="19" spans="1:11" ht="12.95" customHeight="1" x14ac:dyDescent="0.2">
      <c r="A19" s="687">
        <v>3</v>
      </c>
      <c r="B19" s="687"/>
      <c r="C19" s="111" t="s">
        <v>317</v>
      </c>
      <c r="D19" s="112" t="s">
        <v>316</v>
      </c>
      <c r="E19" s="163"/>
      <c r="F19" s="178">
        <f>Projektkennwerte!M49</f>
        <v>1000000</v>
      </c>
      <c r="G19" s="104"/>
      <c r="H19" s="136">
        <v>0</v>
      </c>
      <c r="I19" s="689">
        <f t="shared" si="0"/>
        <v>0</v>
      </c>
      <c r="K19" s="50"/>
    </row>
    <row r="20" spans="1:11" ht="12.95" customHeight="1" x14ac:dyDescent="0.2">
      <c r="A20" s="842">
        <v>3</v>
      </c>
      <c r="B20" s="842"/>
      <c r="C20" s="111" t="s">
        <v>25</v>
      </c>
      <c r="D20" s="112" t="s">
        <v>8</v>
      </c>
      <c r="E20" s="163"/>
      <c r="F20" s="178">
        <f>_3GA</f>
        <v>300000</v>
      </c>
      <c r="G20" s="104"/>
      <c r="H20" s="136">
        <v>0</v>
      </c>
      <c r="I20" s="236">
        <f t="shared" si="0"/>
        <v>0</v>
      </c>
      <c r="K20" s="50"/>
    </row>
    <row r="21" spans="1:11" ht="2.25" customHeight="1" x14ac:dyDescent="0.2">
      <c r="B21" s="4"/>
      <c r="C21" s="6"/>
      <c r="D21" s="1"/>
      <c r="E21" s="161"/>
      <c r="F21" s="174"/>
      <c r="G21" s="1"/>
      <c r="H21" s="631"/>
      <c r="I21" s="174"/>
      <c r="K21" s="63"/>
    </row>
    <row r="22" spans="1:11" s="11" customFormat="1" ht="12.75" customHeight="1" x14ac:dyDescent="0.2">
      <c r="A22" s="821">
        <v>4</v>
      </c>
      <c r="B22" s="821"/>
      <c r="C22" s="106"/>
      <c r="D22" s="107" t="s">
        <v>2</v>
      </c>
      <c r="E22" s="597">
        <f>F22/F34</f>
        <v>0.20187039568687518</v>
      </c>
      <c r="F22" s="389">
        <f>Projektkennwerte!M14</f>
        <v>6500000</v>
      </c>
      <c r="G22" s="104"/>
      <c r="H22" s="135">
        <v>0</v>
      </c>
      <c r="I22" s="389">
        <f>F22*H22</f>
        <v>0</v>
      </c>
      <c r="K22" s="50"/>
    </row>
    <row r="23" spans="1:11" ht="2.25" customHeight="1" x14ac:dyDescent="0.2">
      <c r="B23" s="4"/>
      <c r="C23" s="6"/>
      <c r="D23" s="1"/>
      <c r="E23" s="161"/>
      <c r="F23" s="174"/>
      <c r="G23" s="1"/>
      <c r="H23" s="631"/>
      <c r="I23" s="174"/>
      <c r="K23" s="63"/>
    </row>
    <row r="24" spans="1:11" s="12" customFormat="1" ht="12.95" customHeight="1" x14ac:dyDescent="0.2">
      <c r="A24" s="821">
        <v>5</v>
      </c>
      <c r="B24" s="821"/>
      <c r="C24" s="106"/>
      <c r="D24" s="107" t="s">
        <v>9</v>
      </c>
      <c r="E24" s="597">
        <f>F24/F34</f>
        <v>5.1244023520514471E-2</v>
      </c>
      <c r="F24" s="389">
        <f>Projektkennwerte!M16</f>
        <v>1650000</v>
      </c>
      <c r="G24" s="104"/>
      <c r="H24" s="135">
        <v>0</v>
      </c>
      <c r="I24" s="389">
        <f>F24*H24</f>
        <v>0</v>
      </c>
      <c r="K24" s="50"/>
    </row>
    <row r="25" spans="1:11" ht="2.25" customHeight="1" x14ac:dyDescent="0.2">
      <c r="B25" s="4"/>
      <c r="C25" s="6"/>
      <c r="D25" s="1"/>
      <c r="E25" s="161"/>
      <c r="F25" s="174"/>
      <c r="G25" s="1"/>
      <c r="H25" s="631"/>
      <c r="I25" s="174"/>
      <c r="K25" s="63"/>
    </row>
    <row r="26" spans="1:11" s="11" customFormat="1" ht="12.95" customHeight="1" x14ac:dyDescent="0.2">
      <c r="A26" s="821">
        <v>6</v>
      </c>
      <c r="B26" s="821"/>
      <c r="C26" s="106"/>
      <c r="D26" s="107" t="s">
        <v>3</v>
      </c>
      <c r="E26" s="597">
        <f>F26/F34</f>
        <v>1.5528491975913475E-2</v>
      </c>
      <c r="F26" s="389">
        <f>Projektkennwerte!M18</f>
        <v>500000</v>
      </c>
      <c r="G26" s="104"/>
      <c r="H26" s="135">
        <v>0</v>
      </c>
      <c r="I26" s="389">
        <f>F26*H26</f>
        <v>0</v>
      </c>
      <c r="K26" s="50"/>
    </row>
    <row r="27" spans="1:11" ht="2.25" customHeight="1" x14ac:dyDescent="0.2">
      <c r="B27" s="4"/>
      <c r="C27" s="6"/>
      <c r="D27" s="1"/>
      <c r="E27" s="161"/>
      <c r="F27" s="174"/>
      <c r="G27" s="1"/>
      <c r="H27" s="631"/>
      <c r="I27" s="174"/>
      <c r="K27" s="63"/>
    </row>
    <row r="28" spans="1:11" s="12" customFormat="1" ht="12.95" customHeight="1" x14ac:dyDescent="0.2">
      <c r="A28" s="821">
        <v>7</v>
      </c>
      <c r="B28" s="821"/>
      <c r="C28" s="106"/>
      <c r="D28" s="107" t="s">
        <v>110</v>
      </c>
      <c r="E28" s="597">
        <f>F28/F34</f>
        <v>0.14729944861863917</v>
      </c>
      <c r="F28" s="389">
        <f>Projektkennwerte!M20</f>
        <v>4742876.7985686567</v>
      </c>
      <c r="G28" s="104"/>
      <c r="H28" s="135">
        <v>0</v>
      </c>
      <c r="I28" s="389">
        <f>F28*H28</f>
        <v>0</v>
      </c>
      <c r="K28" s="50"/>
    </row>
    <row r="29" spans="1:11" ht="2.25" customHeight="1" x14ac:dyDescent="0.2">
      <c r="B29" s="4"/>
      <c r="C29" s="6"/>
      <c r="D29" s="1"/>
      <c r="E29" s="161"/>
      <c r="F29" s="174"/>
      <c r="G29" s="1"/>
      <c r="H29" s="631"/>
      <c r="I29" s="174"/>
      <c r="K29" s="63"/>
    </row>
    <row r="30" spans="1:11" s="12" customFormat="1" ht="12.95" customHeight="1" x14ac:dyDescent="0.2">
      <c r="A30" s="821">
        <v>8</v>
      </c>
      <c r="B30" s="821"/>
      <c r="C30" s="106"/>
      <c r="D30" s="107" t="s">
        <v>105</v>
      </c>
      <c r="E30" s="597">
        <f>F30/F34</f>
        <v>1.1180514222657702E-3</v>
      </c>
      <c r="F30" s="389">
        <f>Projektkennwerte!M22</f>
        <v>36000</v>
      </c>
      <c r="G30" s="104"/>
      <c r="H30" s="135">
        <v>0</v>
      </c>
      <c r="I30" s="389">
        <f>F30*H30</f>
        <v>0</v>
      </c>
      <c r="K30" s="50"/>
    </row>
    <row r="31" spans="1:11" ht="2.25" customHeight="1" x14ac:dyDescent="0.2">
      <c r="B31" s="4"/>
      <c r="C31" s="6"/>
      <c r="D31" s="1"/>
      <c r="E31" s="161"/>
      <c r="F31" s="174"/>
      <c r="G31" s="1"/>
      <c r="H31" s="631"/>
      <c r="I31" s="174"/>
      <c r="K31" s="63"/>
    </row>
    <row r="32" spans="1:11" s="12" customFormat="1" ht="12.95" customHeight="1" x14ac:dyDescent="0.2">
      <c r="A32" s="821">
        <v>9</v>
      </c>
      <c r="B32" s="821"/>
      <c r="C32" s="106"/>
      <c r="D32" s="107" t="s">
        <v>10</v>
      </c>
      <c r="E32" s="597">
        <f>F32/F34</f>
        <v>4.9691174322923123E-2</v>
      </c>
      <c r="F32" s="389">
        <f>Projektkennwerte!M24</f>
        <v>1600000</v>
      </c>
      <c r="G32" s="104"/>
      <c r="H32" s="135">
        <v>0.01</v>
      </c>
      <c r="I32" s="389">
        <f>F32*H32</f>
        <v>16000</v>
      </c>
      <c r="K32" s="50"/>
    </row>
    <row r="33" spans="1:13" ht="12" customHeight="1" x14ac:dyDescent="0.2">
      <c r="B33" s="17"/>
      <c r="C33" s="5"/>
      <c r="D33" s="1"/>
      <c r="E33" s="47"/>
      <c r="F33" s="1"/>
      <c r="G33" s="1"/>
      <c r="H33" s="138"/>
      <c r="I33" s="1"/>
      <c r="J33" s="1"/>
    </row>
    <row r="34" spans="1:13" ht="12.95" customHeight="1" x14ac:dyDescent="0.25">
      <c r="A34" s="144" t="s">
        <v>12</v>
      </c>
      <c r="B34" s="145"/>
      <c r="C34" s="145"/>
      <c r="D34" s="145"/>
      <c r="E34" s="102">
        <f>SUM(E7:E32)</f>
        <v>0.99999999999999989</v>
      </c>
      <c r="F34" s="118">
        <f>SUM(F7+F9+F11+F22+F24+F26+F28+F30+F32)</f>
        <v>32198876.798568659</v>
      </c>
      <c r="G34" s="92"/>
      <c r="H34" s="216"/>
      <c r="I34" s="30"/>
      <c r="J34" s="30"/>
    </row>
    <row r="35" spans="1:13" ht="6" customHeight="1" x14ac:dyDescent="0.2">
      <c r="B35" s="13"/>
      <c r="C35" s="13"/>
      <c r="D35" s="14"/>
      <c r="E35" s="1"/>
      <c r="F35" s="47"/>
      <c r="G35" s="14"/>
      <c r="H35" s="19"/>
      <c r="I35" s="15"/>
      <c r="J35" s="18"/>
    </row>
    <row r="36" spans="1:13" s="20" customFormat="1" ht="12.75" customHeight="1" x14ac:dyDescent="0.3">
      <c r="A36" s="486" t="s">
        <v>32</v>
      </c>
      <c r="B36" s="487"/>
      <c r="C36" s="487"/>
      <c r="D36" s="487"/>
      <c r="E36" s="479"/>
      <c r="F36" s="479"/>
      <c r="G36" s="479"/>
      <c r="H36" s="338"/>
      <c r="I36" s="146">
        <f>SUM(I7:I32)</f>
        <v>1516000</v>
      </c>
      <c r="J36" s="64"/>
    </row>
    <row r="37" spans="1:13" s="21" customFormat="1" ht="13.5" customHeight="1" x14ac:dyDescent="0.25">
      <c r="B37" s="625"/>
      <c r="C37" s="625"/>
      <c r="D37" s="46"/>
      <c r="E37" s="46"/>
      <c r="F37" s="46"/>
      <c r="G37" s="46"/>
      <c r="H37" s="46"/>
      <c r="I37" s="322"/>
      <c r="J37" s="322"/>
      <c r="K37" s="29"/>
    </row>
    <row r="38" spans="1:13" ht="12.75" customHeight="1" x14ac:dyDescent="0.2">
      <c r="A38" s="340" t="s">
        <v>83</v>
      </c>
      <c r="B38" s="341"/>
      <c r="C38" s="341"/>
      <c r="D38" s="341"/>
      <c r="E38" s="341"/>
      <c r="F38" s="341"/>
      <c r="G38" s="341"/>
      <c r="H38" s="341"/>
      <c r="I38" s="359"/>
      <c r="K38" s="18"/>
    </row>
    <row r="39" spans="1:13" ht="6" customHeight="1" x14ac:dyDescent="0.2">
      <c r="B39" s="13"/>
      <c r="C39" s="13"/>
      <c r="D39" s="14"/>
      <c r="E39" s="1"/>
      <c r="F39" s="47"/>
      <c r="G39" s="14"/>
      <c r="H39" s="19"/>
      <c r="I39" s="15"/>
      <c r="J39" s="18"/>
    </row>
    <row r="40" spans="1:13" ht="12.75" customHeight="1" x14ac:dyDescent="0.2">
      <c r="A40" s="25"/>
      <c r="B40" s="25"/>
      <c r="C40" s="25"/>
      <c r="D40" s="1"/>
      <c r="E40" s="1"/>
      <c r="F40" s="197" t="s">
        <v>5</v>
      </c>
      <c r="H40" s="198" t="s">
        <v>4</v>
      </c>
      <c r="I40" s="309"/>
      <c r="K40" s="58"/>
    </row>
    <row r="41" spans="1:13" ht="12.75" customHeight="1" x14ac:dyDescent="0.2">
      <c r="B41" s="26" t="s">
        <v>46</v>
      </c>
      <c r="C41" s="60"/>
      <c r="D41" s="51"/>
      <c r="E41" s="51"/>
      <c r="F41" s="151">
        <v>20</v>
      </c>
      <c r="G41" s="199"/>
      <c r="H41" s="199" t="s">
        <v>58</v>
      </c>
      <c r="I41" s="309"/>
      <c r="K41" s="58"/>
    </row>
    <row r="42" spans="1:13" ht="12.75" customHeight="1" x14ac:dyDescent="0.2">
      <c r="B42" s="27" t="s">
        <v>47</v>
      </c>
      <c r="C42" s="61"/>
      <c r="D42" s="52"/>
      <c r="E42" s="52"/>
      <c r="F42" s="151">
        <v>2</v>
      </c>
      <c r="G42" s="199"/>
      <c r="H42" s="200" t="s">
        <v>6</v>
      </c>
      <c r="I42" s="309"/>
      <c r="K42" s="58"/>
    </row>
    <row r="43" spans="1:13" ht="12.75" customHeight="1" x14ac:dyDescent="0.2">
      <c r="B43" s="27" t="s">
        <v>48</v>
      </c>
      <c r="C43" s="61"/>
      <c r="D43" s="52"/>
      <c r="E43" s="52"/>
      <c r="F43" s="151">
        <v>1</v>
      </c>
      <c r="G43" s="199"/>
      <c r="H43" s="200" t="s">
        <v>6</v>
      </c>
      <c r="I43" s="309"/>
      <c r="K43" s="58"/>
    </row>
    <row r="44" spans="1:13" ht="12.75" customHeight="1" x14ac:dyDescent="0.2">
      <c r="B44" s="27" t="s">
        <v>49</v>
      </c>
      <c r="C44" s="52"/>
      <c r="D44" s="52"/>
      <c r="E44" s="52"/>
      <c r="F44" s="151">
        <v>2</v>
      </c>
      <c r="G44" s="199"/>
      <c r="H44" s="200" t="s">
        <v>6</v>
      </c>
      <c r="I44" s="309"/>
      <c r="K44" s="58"/>
    </row>
    <row r="45" spans="1:13" ht="4.5" customHeight="1" x14ac:dyDescent="0.2">
      <c r="A45" s="40"/>
      <c r="B45" s="40"/>
      <c r="C45" s="40"/>
      <c r="D45" s="1"/>
      <c r="E45" s="1"/>
      <c r="F45" s="201"/>
      <c r="H45" s="201"/>
      <c r="I45" s="309"/>
      <c r="K45" s="58"/>
    </row>
    <row r="46" spans="1:13" ht="12.75" customHeight="1" x14ac:dyDescent="0.25">
      <c r="B46" s="27" t="s">
        <v>141</v>
      </c>
      <c r="C46" s="61"/>
      <c r="D46" s="52"/>
      <c r="E46" s="52"/>
      <c r="F46" s="563"/>
      <c r="G46" s="329"/>
      <c r="H46" s="200" t="s">
        <v>57</v>
      </c>
      <c r="I46" s="309"/>
      <c r="J46" s="58"/>
      <c r="K46" s="554"/>
      <c r="L46" s="554"/>
      <c r="M46" s="554"/>
    </row>
    <row r="47" spans="1:13" ht="12.75" customHeight="1" x14ac:dyDescent="0.25">
      <c r="B47" s="27" t="s">
        <v>185</v>
      </c>
      <c r="C47" s="61"/>
      <c r="D47" s="52"/>
      <c r="E47" s="52"/>
      <c r="F47" s="563"/>
      <c r="G47" s="329"/>
      <c r="H47" s="200" t="s">
        <v>57</v>
      </c>
      <c r="I47" s="309"/>
      <c r="J47" s="58"/>
      <c r="K47" s="554"/>
      <c r="L47" s="554"/>
      <c r="M47" s="554"/>
    </row>
    <row r="48" spans="1:13" ht="12.75" customHeight="1" x14ac:dyDescent="0.25">
      <c r="B48" s="27" t="s">
        <v>143</v>
      </c>
      <c r="C48" s="61"/>
      <c r="D48" s="52"/>
      <c r="E48" s="52"/>
      <c r="F48" s="563"/>
      <c r="G48" s="329"/>
      <c r="H48" s="200" t="s">
        <v>57</v>
      </c>
      <c r="I48" s="309"/>
      <c r="J48" s="58"/>
      <c r="K48" s="554"/>
      <c r="L48" s="554"/>
      <c r="M48" s="554"/>
    </row>
    <row r="49" spans="1:13" ht="12.75" customHeight="1" x14ac:dyDescent="0.25">
      <c r="B49" s="27" t="s">
        <v>144</v>
      </c>
      <c r="C49" s="61"/>
      <c r="D49" s="52"/>
      <c r="E49" s="52"/>
      <c r="F49" s="563"/>
      <c r="G49" s="329"/>
      <c r="H49" s="200" t="s">
        <v>57</v>
      </c>
      <c r="I49" s="309"/>
      <c r="J49" s="58"/>
      <c r="K49" s="554"/>
      <c r="L49" s="554"/>
      <c r="M49" s="554"/>
    </row>
    <row r="50" spans="1:13" ht="12.75" customHeight="1" x14ac:dyDescent="0.25">
      <c r="B50" s="27" t="s">
        <v>181</v>
      </c>
      <c r="C50" s="61"/>
      <c r="D50" s="52"/>
      <c r="E50" s="52"/>
      <c r="F50" s="563"/>
      <c r="G50" s="329"/>
      <c r="H50" s="200" t="s">
        <v>163</v>
      </c>
      <c r="I50" s="309"/>
      <c r="J50" s="58"/>
      <c r="K50" s="554"/>
      <c r="L50" s="554"/>
      <c r="M50" s="554"/>
    </row>
    <row r="51" spans="1:13" ht="12.75" customHeight="1" x14ac:dyDescent="0.25">
      <c r="B51" s="27" t="s">
        <v>183</v>
      </c>
      <c r="C51" s="61"/>
      <c r="D51" s="52"/>
      <c r="E51" s="52"/>
      <c r="F51" s="563"/>
      <c r="G51" s="329"/>
      <c r="H51" s="200" t="s">
        <v>160</v>
      </c>
      <c r="I51" s="309"/>
      <c r="J51" s="58"/>
      <c r="K51" s="554"/>
      <c r="L51" s="554"/>
      <c r="M51" s="554"/>
    </row>
    <row r="52" spans="1:13" ht="12.75" customHeight="1" x14ac:dyDescent="0.25">
      <c r="B52" s="27" t="s">
        <v>182</v>
      </c>
      <c r="C52" s="61"/>
      <c r="D52" s="52"/>
      <c r="E52" s="52"/>
      <c r="F52" s="563"/>
      <c r="G52" s="329"/>
      <c r="H52" s="200" t="s">
        <v>6</v>
      </c>
      <c r="I52" s="309"/>
      <c r="J52" s="1"/>
      <c r="K52" s="554"/>
    </row>
    <row r="53" spans="1:13" ht="12.75" customHeight="1" x14ac:dyDescent="0.25">
      <c r="B53" s="27" t="s">
        <v>186</v>
      </c>
      <c r="C53" s="61"/>
      <c r="D53" s="52"/>
      <c r="E53" s="52"/>
      <c r="F53" s="563"/>
      <c r="G53" s="329"/>
      <c r="H53" s="200" t="s">
        <v>57</v>
      </c>
      <c r="I53" s="309"/>
      <c r="J53" s="1"/>
      <c r="K53" s="554"/>
    </row>
    <row r="54" spans="1:13" ht="12.75" customHeight="1" x14ac:dyDescent="0.25">
      <c r="B54" s="27" t="s">
        <v>187</v>
      </c>
      <c r="C54" s="61"/>
      <c r="D54" s="52"/>
      <c r="E54" s="52"/>
      <c r="F54" s="563"/>
      <c r="G54" s="329"/>
      <c r="H54" s="200" t="s">
        <v>57</v>
      </c>
      <c r="I54" s="309"/>
      <c r="J54" s="1"/>
      <c r="K54" s="554"/>
    </row>
    <row r="55" spans="1:13" ht="4.5" customHeight="1" x14ac:dyDescent="0.2">
      <c r="A55" s="40"/>
      <c r="B55" s="40"/>
      <c r="C55" s="1"/>
      <c r="D55" s="203"/>
      <c r="E55" s="203"/>
      <c r="F55" s="203"/>
      <c r="H55" s="203"/>
      <c r="I55" s="309"/>
      <c r="K55" s="1"/>
    </row>
    <row r="56" spans="1:13" ht="12.75" customHeight="1" x14ac:dyDescent="0.2">
      <c r="B56" s="25" t="s">
        <v>45</v>
      </c>
      <c r="C56" s="1"/>
      <c r="D56" s="202"/>
      <c r="E56" s="203"/>
      <c r="F56" s="222">
        <f>SUM(F41:F54)</f>
        <v>25</v>
      </c>
      <c r="H56" s="203"/>
      <c r="I56" s="309"/>
      <c r="K56" s="1"/>
    </row>
    <row r="57" spans="1:13" ht="12.95" customHeight="1" x14ac:dyDescent="0.2">
      <c r="B57" s="40"/>
      <c r="C57" s="1"/>
      <c r="D57" s="203"/>
      <c r="E57" s="203"/>
      <c r="F57" s="203"/>
      <c r="H57" s="203"/>
      <c r="I57" s="309"/>
      <c r="K57" s="1"/>
    </row>
    <row r="58" spans="1:13" ht="12.95" customHeight="1" x14ac:dyDescent="0.2">
      <c r="A58" s="340" t="s">
        <v>171</v>
      </c>
      <c r="B58" s="340"/>
      <c r="C58" s="341"/>
      <c r="D58" s="341"/>
      <c r="E58" s="341"/>
      <c r="F58" s="341"/>
      <c r="G58" s="343"/>
      <c r="H58" s="341"/>
      <c r="I58" s="358"/>
      <c r="K58" s="18"/>
    </row>
    <row r="59" spans="1:13" ht="4.5" customHeight="1" x14ac:dyDescent="0.2">
      <c r="A59" s="205"/>
      <c r="B59" s="205"/>
      <c r="C59" s="205"/>
      <c r="D59" s="205"/>
      <c r="F59" s="8"/>
      <c r="I59" s="1"/>
      <c r="K59" s="18"/>
    </row>
    <row r="60" spans="1:13" ht="12.75" customHeight="1" x14ac:dyDescent="0.2">
      <c r="A60" s="206" t="s">
        <v>11</v>
      </c>
      <c r="B60" s="206"/>
      <c r="C60" s="1"/>
      <c r="F60" s="230">
        <f>I36</f>
        <v>1516000</v>
      </c>
      <c r="I60" s="1"/>
      <c r="K60" s="18"/>
    </row>
    <row r="61" spans="1:13" s="258" customFormat="1" ht="13.5" customHeight="1" x14ac:dyDescent="0.3">
      <c r="A61" s="257" t="s">
        <v>78</v>
      </c>
      <c r="B61" s="257"/>
      <c r="C61" s="257"/>
      <c r="F61" s="260">
        <f>0.03*F56+0.73</f>
        <v>1.48</v>
      </c>
      <c r="H61" s="261"/>
      <c r="I61" s="446"/>
      <c r="K61" s="18"/>
    </row>
    <row r="62" spans="1:13" ht="12.75" customHeight="1" x14ac:dyDescent="0.25">
      <c r="A62" s="28" t="s">
        <v>81</v>
      </c>
      <c r="B62" s="28"/>
      <c r="C62" s="28"/>
      <c r="D62" s="1"/>
      <c r="E62" s="1"/>
      <c r="F62" s="251">
        <f>ROUND(IF(F60&lt;2000000,202*F60^(-0.2248)*F61/100,(37.8*F60^(-0.109)*F61/100)),4)</f>
        <v>0.122</v>
      </c>
      <c r="I62" s="499"/>
      <c r="K62" s="18"/>
    </row>
    <row r="63" spans="1:13" s="258" customFormat="1" ht="13.5" customHeight="1" x14ac:dyDescent="0.3">
      <c r="A63" s="257" t="s">
        <v>93</v>
      </c>
      <c r="B63" s="257"/>
      <c r="C63" s="257"/>
      <c r="F63" s="439">
        <f>202*F60^(-0.2248)*F61/100</f>
        <v>0.12195283604265038</v>
      </c>
      <c r="G63" s="259" t="str">
        <f>IF(F60&lt;2000000,"(PL + ÖBA)","")</f>
        <v>(PL + ÖBA)</v>
      </c>
      <c r="K63" s="18"/>
    </row>
    <row r="64" spans="1:13" s="258" customFormat="1" ht="13.5" customHeight="1" x14ac:dyDescent="0.3">
      <c r="A64" s="257" t="s">
        <v>94</v>
      </c>
      <c r="B64" s="257"/>
      <c r="C64" s="257"/>
      <c r="D64" s="257"/>
      <c r="F64" s="439">
        <f>37.8*F60^(-0.109)*F61/100</f>
        <v>0.1185925212850435</v>
      </c>
      <c r="I64" s="259" t="str">
        <f>IF(F60&gt;1999999.99,"(PL + ÖBA)","")</f>
        <v/>
      </c>
      <c r="K64" s="18"/>
    </row>
    <row r="65" spans="1:18" ht="15" customHeight="1" x14ac:dyDescent="0.3">
      <c r="A65" s="311" t="s">
        <v>79</v>
      </c>
      <c r="B65" s="25"/>
      <c r="C65" s="25"/>
      <c r="D65" s="312"/>
      <c r="E65" s="208"/>
      <c r="F65" s="626">
        <f>ROUND(F60*F62,2)</f>
        <v>184952</v>
      </c>
      <c r="G65" s="551" t="s">
        <v>174</v>
      </c>
      <c r="H65" s="209"/>
      <c r="I65" s="19"/>
      <c r="K65" s="18"/>
      <c r="O65" s="73"/>
    </row>
    <row r="66" spans="1:18" ht="15" customHeight="1" x14ac:dyDescent="0.2">
      <c r="A66" s="311"/>
      <c r="B66" s="25"/>
      <c r="C66" s="25"/>
      <c r="D66" s="312"/>
      <c r="E66" s="208"/>
      <c r="F66" s="326"/>
      <c r="G66" s="209"/>
      <c r="H66" s="209"/>
      <c r="I66" s="19"/>
      <c r="K66" s="18"/>
    </row>
    <row r="67" spans="1:18" ht="12.95" customHeight="1" x14ac:dyDescent="0.2">
      <c r="A67" s="502" t="s">
        <v>170</v>
      </c>
      <c r="B67" s="502"/>
      <c r="C67" s="502"/>
      <c r="D67" s="502"/>
      <c r="E67" s="502"/>
      <c r="F67" s="502"/>
      <c r="G67" s="502"/>
      <c r="H67" s="502"/>
      <c r="I67" s="502"/>
      <c r="J67" s="147"/>
      <c r="K67" s="3"/>
      <c r="L67" s="143"/>
      <c r="M67" s="143"/>
    </row>
    <row r="68" spans="1:18" ht="6" customHeight="1" x14ac:dyDescent="0.2">
      <c r="B68" s="13"/>
      <c r="C68" s="13"/>
      <c r="D68" s="14"/>
      <c r="E68" s="1"/>
      <c r="F68" s="47"/>
      <c r="G68" s="14"/>
      <c r="H68" s="19"/>
      <c r="J68" s="18"/>
    </row>
    <row r="69" spans="1:18" ht="12.75" customHeight="1" x14ac:dyDescent="0.25">
      <c r="A69" s="210" t="s">
        <v>53</v>
      </c>
      <c r="B69" s="210"/>
      <c r="C69" s="420"/>
      <c r="D69" s="1"/>
      <c r="E69" s="287">
        <v>0.02</v>
      </c>
      <c r="F69" s="243">
        <v>0.02</v>
      </c>
      <c r="H69" s="212">
        <v>1</v>
      </c>
      <c r="I69" s="621">
        <f>IF($F$60=0,"-",$F$65*F69)</f>
        <v>3699.04</v>
      </c>
      <c r="J69" s="514"/>
      <c r="R69" s="73"/>
    </row>
    <row r="70" spans="1:18" ht="12.75" customHeight="1" x14ac:dyDescent="0.25">
      <c r="A70" s="210" t="s">
        <v>36</v>
      </c>
      <c r="B70" s="210"/>
      <c r="C70" s="420"/>
      <c r="D70" s="1"/>
      <c r="E70" s="288">
        <v>0.08</v>
      </c>
      <c r="F70" s="429">
        <v>0.08</v>
      </c>
      <c r="H70" s="212">
        <v>2</v>
      </c>
      <c r="I70" s="621">
        <f t="shared" ref="I70:I81" si="1">IF($F$60=0,"-",$F$65*F70)</f>
        <v>14796.16</v>
      </c>
      <c r="J70" s="514"/>
    </row>
    <row r="71" spans="1:18" ht="12.75" customHeight="1" x14ac:dyDescent="0.25">
      <c r="A71" s="210" t="s">
        <v>37</v>
      </c>
      <c r="B71" s="210"/>
      <c r="C71" s="420"/>
      <c r="D71" s="1"/>
      <c r="E71" s="288">
        <v>0.12</v>
      </c>
      <c r="F71" s="429">
        <v>0.12</v>
      </c>
      <c r="H71" s="212">
        <v>3</v>
      </c>
      <c r="I71" s="621">
        <f t="shared" si="1"/>
        <v>22194.239999999998</v>
      </c>
      <c r="J71" s="514"/>
    </row>
    <row r="72" spans="1:18" ht="12.75" customHeight="1" x14ac:dyDescent="0.25">
      <c r="A72" s="210" t="s">
        <v>38</v>
      </c>
      <c r="B72" s="210"/>
      <c r="C72" s="420"/>
      <c r="D72" s="1"/>
      <c r="E72" s="288">
        <v>0.05</v>
      </c>
      <c r="F72" s="429">
        <v>0.05</v>
      </c>
      <c r="H72" s="212">
        <v>4</v>
      </c>
      <c r="I72" s="621">
        <f t="shared" si="1"/>
        <v>9247.6</v>
      </c>
      <c r="J72" s="514"/>
      <c r="K72" s="722" t="s">
        <v>341</v>
      </c>
      <c r="L72" s="1" t="s">
        <v>95</v>
      </c>
    </row>
    <row r="73" spans="1:18" ht="12.75" customHeight="1" x14ac:dyDescent="0.25">
      <c r="A73" s="210" t="s">
        <v>39</v>
      </c>
      <c r="B73" s="210"/>
      <c r="C73" s="420"/>
      <c r="D73" s="1"/>
      <c r="E73" s="288">
        <v>0.22</v>
      </c>
      <c r="F73" s="429">
        <v>0.05</v>
      </c>
      <c r="H73" s="212">
        <v>5</v>
      </c>
      <c r="I73" s="621">
        <f t="shared" si="1"/>
        <v>9247.6</v>
      </c>
      <c r="J73" s="514"/>
    </row>
    <row r="74" spans="1:18" ht="12.75" customHeight="1" x14ac:dyDescent="0.25">
      <c r="A74" s="210" t="s">
        <v>40</v>
      </c>
      <c r="B74" s="210"/>
      <c r="C74" s="420"/>
      <c r="D74" s="1"/>
      <c r="E74" s="288">
        <v>7.0000000000000007E-2</v>
      </c>
      <c r="F74" s="429">
        <v>7.0000000000000007E-2</v>
      </c>
      <c r="H74" s="212">
        <v>6</v>
      </c>
      <c r="I74" s="621">
        <f t="shared" si="1"/>
        <v>12946.640000000001</v>
      </c>
      <c r="J74" s="514"/>
    </row>
    <row r="75" spans="1:18" ht="12.75" customHeight="1" x14ac:dyDescent="0.25">
      <c r="A75" s="210" t="s">
        <v>61</v>
      </c>
      <c r="B75" s="210"/>
      <c r="C75" s="420"/>
      <c r="D75" s="1"/>
      <c r="E75" s="288">
        <v>0.03</v>
      </c>
      <c r="F75" s="429">
        <v>0.03</v>
      </c>
      <c r="H75" s="212"/>
      <c r="I75" s="621">
        <f t="shared" si="1"/>
        <v>5548.5599999999995</v>
      </c>
      <c r="J75" s="514"/>
    </row>
    <row r="76" spans="1:18" ht="12.75" customHeight="1" x14ac:dyDescent="0.25">
      <c r="A76" s="210" t="s">
        <v>54</v>
      </c>
      <c r="B76" s="210"/>
      <c r="C76" s="420"/>
      <c r="D76" s="1"/>
      <c r="E76" s="288">
        <v>0.04</v>
      </c>
      <c r="F76" s="429">
        <v>0.04</v>
      </c>
      <c r="H76" s="212">
        <v>7</v>
      </c>
      <c r="I76" s="621">
        <f t="shared" si="1"/>
        <v>7398.08</v>
      </c>
      <c r="J76" s="514"/>
    </row>
    <row r="77" spans="1:18" ht="12.75" customHeight="1" x14ac:dyDescent="0.25">
      <c r="A77" s="193" t="s">
        <v>80</v>
      </c>
      <c r="B77" s="193"/>
      <c r="C77" s="420"/>
      <c r="D77" s="1"/>
      <c r="E77" s="288">
        <v>0.35</v>
      </c>
      <c r="F77" s="429">
        <v>0.15</v>
      </c>
      <c r="H77" s="212">
        <v>8</v>
      </c>
      <c r="I77" s="621">
        <f t="shared" si="1"/>
        <v>27742.799999999999</v>
      </c>
      <c r="J77" s="514"/>
    </row>
    <row r="78" spans="1:18" ht="12.75" customHeight="1" x14ac:dyDescent="0.25">
      <c r="A78" s="294" t="s">
        <v>55</v>
      </c>
      <c r="B78" s="294"/>
      <c r="C78" s="295"/>
      <c r="D78" s="1"/>
      <c r="E78" s="292">
        <v>0.02</v>
      </c>
      <c r="F78" s="430">
        <v>0.02</v>
      </c>
      <c r="H78" s="296">
        <v>9</v>
      </c>
      <c r="I78" s="621">
        <f t="shared" si="1"/>
        <v>3699.04</v>
      </c>
      <c r="J78" s="514"/>
    </row>
    <row r="79" spans="1:18" s="303" customFormat="1" ht="12.75" customHeight="1" x14ac:dyDescent="0.25">
      <c r="A79" s="580" t="s">
        <v>164</v>
      </c>
      <c r="B79" s="580"/>
      <c r="C79" s="581"/>
      <c r="E79" s="582"/>
      <c r="F79" s="609">
        <v>0</v>
      </c>
      <c r="I79" s="622">
        <f t="shared" si="1"/>
        <v>0</v>
      </c>
      <c r="J79" s="301"/>
      <c r="K79" s="302"/>
      <c r="L79" s="302"/>
      <c r="M79" s="302"/>
    </row>
    <row r="80" spans="1:18" s="303" customFormat="1" ht="12.75" customHeight="1" x14ac:dyDescent="0.25">
      <c r="A80" s="580" t="s">
        <v>164</v>
      </c>
      <c r="B80" s="580"/>
      <c r="C80" s="581"/>
      <c r="E80" s="582"/>
      <c r="F80" s="609">
        <v>0</v>
      </c>
      <c r="I80" s="622">
        <f t="shared" si="1"/>
        <v>0</v>
      </c>
      <c r="J80" s="301"/>
      <c r="K80" s="302"/>
      <c r="L80" s="302"/>
      <c r="M80" s="302"/>
    </row>
    <row r="81" spans="1:14" s="303" customFormat="1" ht="12.75" customHeight="1" x14ac:dyDescent="0.25">
      <c r="A81" s="297" t="s">
        <v>164</v>
      </c>
      <c r="B81" s="297"/>
      <c r="C81" s="298"/>
      <c r="D81" s="299"/>
      <c r="E81" s="300"/>
      <c r="F81" s="610">
        <v>0</v>
      </c>
      <c r="G81" s="299"/>
      <c r="I81" s="622">
        <f t="shared" si="1"/>
        <v>0</v>
      </c>
      <c r="J81" s="301"/>
      <c r="K81" s="302"/>
      <c r="L81" s="302"/>
      <c r="M81" s="302"/>
    </row>
    <row r="82" spans="1:14" s="258" customFormat="1" ht="13.5" customHeight="1" x14ac:dyDescent="0.25">
      <c r="A82" s="213" t="s">
        <v>190</v>
      </c>
      <c r="B82" s="262"/>
      <c r="C82" s="257"/>
      <c r="E82" s="613">
        <f>SUM(E69:E78)</f>
        <v>1</v>
      </c>
      <c r="F82" s="264">
        <f>SUM(F69:F81)</f>
        <v>0.63</v>
      </c>
      <c r="H82" s="618"/>
      <c r="I82" s="623">
        <f>SUM(I69:I81)</f>
        <v>116519.76</v>
      </c>
      <c r="J82" s="265"/>
      <c r="K82" s="59"/>
    </row>
    <row r="83" spans="1:14" ht="12.75" customHeight="1" x14ac:dyDescent="0.25">
      <c r="F83" s="139"/>
      <c r="J83" s="514"/>
    </row>
    <row r="84" spans="1:14" ht="12.75" customHeight="1" x14ac:dyDescent="0.2">
      <c r="A84" s="524" t="s">
        <v>172</v>
      </c>
      <c r="B84" s="524"/>
      <c r="C84" s="524"/>
      <c r="D84" s="524"/>
      <c r="E84" s="524"/>
      <c r="F84" s="524"/>
      <c r="G84" s="524"/>
      <c r="H84" s="524"/>
      <c r="I84" s="524"/>
      <c r="J84" s="147"/>
      <c r="K84" s="3"/>
      <c r="L84" s="143"/>
      <c r="M84" s="143"/>
    </row>
    <row r="85" spans="1:14" s="32" customFormat="1" ht="4.5" customHeight="1" x14ac:dyDescent="0.2">
      <c r="B85" s="33"/>
      <c r="C85" s="34"/>
      <c r="D85" s="34"/>
      <c r="E85" s="65"/>
      <c r="F85" s="67"/>
      <c r="G85" s="93"/>
      <c r="H85" s="93"/>
      <c r="I85" s="119"/>
      <c r="K85" s="36"/>
    </row>
    <row r="86" spans="1:14" ht="12.75" customHeight="1" x14ac:dyDescent="0.3">
      <c r="A86" s="311" t="s">
        <v>79</v>
      </c>
      <c r="B86" s="503"/>
      <c r="C86" s="503"/>
      <c r="D86" s="503"/>
      <c r="E86" s="316"/>
      <c r="F86" s="526"/>
      <c r="G86" s="828"/>
      <c r="H86" s="829"/>
      <c r="I86" s="599">
        <f>I82</f>
        <v>116519.76</v>
      </c>
      <c r="J86" s="503"/>
      <c r="K86" s="504"/>
      <c r="L86" s="504"/>
      <c r="M86" s="504"/>
    </row>
    <row r="87" spans="1:14" ht="12.75" customHeight="1" x14ac:dyDescent="0.25">
      <c r="A87" s="48" t="s">
        <v>113</v>
      </c>
      <c r="F87" s="522">
        <v>0</v>
      </c>
      <c r="G87" s="572"/>
      <c r="H87" s="523">
        <v>0</v>
      </c>
      <c r="I87" s="599">
        <f>F87*H87</f>
        <v>0</v>
      </c>
      <c r="L87" s="504"/>
      <c r="M87" s="504"/>
      <c r="N87" s="504"/>
    </row>
    <row r="88" spans="1:14" s="32" customFormat="1" ht="4.5" customHeight="1" x14ac:dyDescent="0.2">
      <c r="B88" s="33"/>
      <c r="C88" s="34"/>
      <c r="D88" s="34"/>
      <c r="E88" s="65"/>
      <c r="F88" s="67"/>
      <c r="G88" s="93"/>
      <c r="H88" s="93"/>
      <c r="I88" s="119"/>
      <c r="K88" s="36"/>
    </row>
    <row r="89" spans="1:14" s="32" customFormat="1" ht="12.75" x14ac:dyDescent="0.2">
      <c r="A89" s="506" t="s">
        <v>223</v>
      </c>
      <c r="B89" s="507"/>
      <c r="C89" s="508"/>
      <c r="D89" s="508"/>
      <c r="E89" s="509"/>
      <c r="F89" s="511"/>
      <c r="G89" s="509"/>
      <c r="H89" s="509"/>
      <c r="I89" s="510">
        <f>I86+I87</f>
        <v>116519.76</v>
      </c>
      <c r="K89" s="36"/>
    </row>
    <row r="90" spans="1:14" s="32" customFormat="1" ht="4.5" customHeight="1" x14ac:dyDescent="0.2">
      <c r="B90" s="33"/>
      <c r="C90" s="34"/>
      <c r="D90" s="34"/>
      <c r="E90" s="65"/>
      <c r="F90" s="67"/>
      <c r="G90" s="93"/>
      <c r="H90" s="93"/>
      <c r="I90" s="119"/>
      <c r="K90" s="36"/>
    </row>
    <row r="91" spans="1:14" s="32" customFormat="1" ht="12.75" x14ac:dyDescent="0.2">
      <c r="A91" s="68" t="s">
        <v>13</v>
      </c>
      <c r="B91" s="33"/>
      <c r="C91" s="34"/>
      <c r="D91" s="34"/>
      <c r="E91" s="76"/>
      <c r="F91" s="521">
        <v>0.04</v>
      </c>
      <c r="G91" s="334"/>
      <c r="H91" s="94"/>
      <c r="I91" s="120">
        <f>ROUND(I89*F91,2)</f>
        <v>4660.79</v>
      </c>
      <c r="K91" s="36"/>
    </row>
    <row r="92" spans="1:14" s="32" customFormat="1" ht="3" customHeight="1" x14ac:dyDescent="0.2">
      <c r="A92" s="69"/>
      <c r="B92" s="70"/>
      <c r="C92" s="71"/>
      <c r="D92" s="71"/>
      <c r="E92" s="77"/>
      <c r="F92" s="240"/>
      <c r="G92" s="249"/>
      <c r="H92" s="95"/>
      <c r="I92" s="121"/>
      <c r="K92" s="36"/>
    </row>
    <row r="93" spans="1:14" s="32" customFormat="1" ht="3" customHeight="1" x14ac:dyDescent="0.2">
      <c r="B93" s="33"/>
      <c r="C93" s="34"/>
      <c r="D93" s="34"/>
      <c r="E93" s="79"/>
      <c r="F93" s="241"/>
      <c r="G93" s="335"/>
      <c r="H93" s="96"/>
      <c r="I93" s="119"/>
      <c r="K93" s="36"/>
    </row>
    <row r="94" spans="1:14" s="32" customFormat="1" ht="12.75" x14ac:dyDescent="0.2">
      <c r="A94" s="506" t="s">
        <v>224</v>
      </c>
      <c r="B94" s="507"/>
      <c r="C94" s="508"/>
      <c r="D94" s="508"/>
      <c r="E94" s="363"/>
      <c r="F94" s="362"/>
      <c r="G94" s="362"/>
      <c r="H94" s="360"/>
      <c r="I94" s="510">
        <f>I89+I91</f>
        <v>121180.54999999999</v>
      </c>
      <c r="K94" s="36"/>
    </row>
    <row r="95" spans="1:14" s="32" customFormat="1" ht="4.5" customHeight="1" x14ac:dyDescent="0.2">
      <c r="A95" s="73"/>
      <c r="B95" s="74"/>
      <c r="C95" s="75"/>
      <c r="D95" s="75"/>
      <c r="E95" s="35"/>
      <c r="F95" s="238"/>
      <c r="G95" s="336"/>
      <c r="H95" s="94"/>
      <c r="I95" s="122"/>
      <c r="K95" s="36"/>
    </row>
    <row r="96" spans="1:14" s="32" customFormat="1" ht="12.75" x14ac:dyDescent="0.2">
      <c r="A96" s="159" t="s">
        <v>150</v>
      </c>
      <c r="B96" s="74"/>
      <c r="C96" s="75"/>
      <c r="D96" s="75"/>
      <c r="E96" s="35"/>
      <c r="F96" s="521">
        <v>0</v>
      </c>
      <c r="G96" s="94"/>
      <c r="H96" s="37"/>
      <c r="I96" s="120">
        <f>ROUND(I94*F96,2)</f>
        <v>0</v>
      </c>
      <c r="K96" s="36"/>
    </row>
    <row r="97" spans="1:11" s="32" customFormat="1" ht="3" customHeight="1" x14ac:dyDescent="0.2">
      <c r="A97" s="69"/>
      <c r="B97" s="70"/>
      <c r="C97" s="71"/>
      <c r="D97" s="71"/>
      <c r="E97" s="77"/>
      <c r="F97" s="240"/>
      <c r="G97" s="249"/>
      <c r="H97" s="95"/>
      <c r="I97" s="121"/>
      <c r="K97" s="36"/>
    </row>
    <row r="98" spans="1:11" s="32" customFormat="1" ht="3" customHeight="1" x14ac:dyDescent="0.2">
      <c r="B98" s="33"/>
      <c r="C98" s="34"/>
      <c r="D98" s="34"/>
      <c r="E98" s="79"/>
      <c r="F98" s="241"/>
      <c r="G98" s="335"/>
      <c r="H98" s="96"/>
      <c r="I98" s="119"/>
      <c r="K98" s="36"/>
    </row>
    <row r="99" spans="1:11" s="32" customFormat="1" ht="12.75" x14ac:dyDescent="0.2">
      <c r="A99" s="506" t="s">
        <v>225</v>
      </c>
      <c r="B99" s="507"/>
      <c r="C99" s="508"/>
      <c r="D99" s="508"/>
      <c r="E99" s="363"/>
      <c r="F99" s="362"/>
      <c r="G99" s="362"/>
      <c r="H99" s="360"/>
      <c r="I99" s="510">
        <f>I94+I96</f>
        <v>121180.54999999999</v>
      </c>
      <c r="K99" s="36"/>
    </row>
    <row r="100" spans="1:11" s="32" customFormat="1" ht="4.5" customHeight="1" x14ac:dyDescent="0.2">
      <c r="A100" s="73"/>
      <c r="B100" s="74"/>
      <c r="C100" s="75"/>
      <c r="D100" s="75"/>
      <c r="E100" s="35"/>
      <c r="F100" s="238"/>
      <c r="G100" s="336"/>
      <c r="H100" s="94"/>
      <c r="I100" s="122"/>
      <c r="K100" s="36"/>
    </row>
    <row r="101" spans="1:11" s="32" customFormat="1" ht="12.75" x14ac:dyDescent="0.2">
      <c r="A101" s="32" t="s">
        <v>14</v>
      </c>
      <c r="B101" s="33"/>
      <c r="D101" s="34"/>
      <c r="E101" s="72"/>
      <c r="F101" s="38">
        <v>0.2</v>
      </c>
      <c r="G101" s="38"/>
      <c r="H101" s="38"/>
      <c r="I101" s="123">
        <f>ROUND(I94*F101,2)</f>
        <v>24236.11</v>
      </c>
      <c r="K101" s="36"/>
    </row>
    <row r="102" spans="1:11" s="32" customFormat="1" ht="3" customHeight="1" x14ac:dyDescent="0.2">
      <c r="A102" s="37"/>
      <c r="B102" s="231"/>
      <c r="C102" s="78"/>
      <c r="D102" s="78"/>
      <c r="E102" s="72"/>
      <c r="F102" s="67"/>
      <c r="G102" s="93"/>
      <c r="H102" s="93"/>
      <c r="I102" s="124"/>
      <c r="K102" s="36"/>
    </row>
    <row r="103" spans="1:11" s="37" customFormat="1" ht="12.75" x14ac:dyDescent="0.2">
      <c r="A103" s="515" t="s">
        <v>226</v>
      </c>
      <c r="B103" s="520"/>
      <c r="C103" s="516"/>
      <c r="D103" s="516"/>
      <c r="E103" s="517"/>
      <c r="F103" s="518"/>
      <c r="G103" s="518"/>
      <c r="H103" s="518"/>
      <c r="I103" s="519">
        <f>SUM(I99:I101)</f>
        <v>145416.65999999997</v>
      </c>
      <c r="K103" s="36"/>
    </row>
    <row r="104" spans="1:11" ht="5.0999999999999996" customHeight="1" x14ac:dyDescent="0.2">
      <c r="F104" s="8"/>
      <c r="G104" s="42"/>
    </row>
    <row r="105" spans="1:11" ht="12.75" customHeight="1" x14ac:dyDescent="0.25">
      <c r="F105" s="247"/>
      <c r="J105" s="188"/>
    </row>
  </sheetData>
  <mergeCells count="19">
    <mergeCell ref="A20:B20"/>
    <mergeCell ref="F2:I2"/>
    <mergeCell ref="A7:B7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G86:H86"/>
    <mergeCell ref="A30:B30"/>
    <mergeCell ref="A32:B32"/>
    <mergeCell ref="A22:B22"/>
    <mergeCell ref="A24:B24"/>
    <mergeCell ref="A26:B26"/>
    <mergeCell ref="A28:B28"/>
  </mergeCells>
  <conditionalFormatting sqref="F63">
    <cfRule type="expression" dxfId="7" priority="2" stopIfTrue="1">
      <formula>$F$60&gt;1999999.99</formula>
    </cfRule>
  </conditionalFormatting>
  <conditionalFormatting sqref="F64">
    <cfRule type="expression" dxfId="6" priority="1" stopIfTrue="1">
      <formula>$F$60&lt;2000000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&amp;L&amp;"Arial,Fett"&amp;9&amp;K01+017Leitfaden Vergabe technische Beratung &amp; Planung&amp;R&amp;"Arial,Standard"&amp;9&amp;K01+017 Juni 2018                              Seite &amp;P von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tabColor theme="0" tint="-0.34998626667073579"/>
  </sheetPr>
  <dimension ref="A1:R104"/>
  <sheetViews>
    <sheetView showGridLines="0" tabSelected="1" view="pageLayout" topLeftCell="A31" zoomScale="70" zoomScaleNormal="85" zoomScaleSheetLayoutView="85" zoomScalePageLayoutView="7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.7109375" style="59" customWidth="1"/>
    <col min="12" max="16384" width="11.5703125" style="1"/>
  </cols>
  <sheetData>
    <row r="1" spans="1:11" ht="5.0999999999999996" customHeight="1" x14ac:dyDescent="0.2"/>
    <row r="2" spans="1:11" s="54" customFormat="1" ht="35.1" customHeight="1" x14ac:dyDescent="0.2">
      <c r="A2" s="137"/>
      <c r="C2" s="13"/>
      <c r="D2" s="103"/>
      <c r="E2" s="820" t="s">
        <v>342</v>
      </c>
      <c r="F2" s="820"/>
      <c r="G2" s="820"/>
      <c r="H2" s="820"/>
      <c r="I2" s="820"/>
      <c r="J2" s="590"/>
      <c r="K2" s="62"/>
    </row>
    <row r="3" spans="1:11" s="11" customFormat="1" ht="12.95" customHeight="1" x14ac:dyDescent="0.25">
      <c r="A3" s="574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K5" s="45"/>
    </row>
    <row r="6" spans="1:11" s="11" customFormat="1" ht="6" customHeight="1" x14ac:dyDescent="0.25">
      <c r="F6" s="98"/>
      <c r="I6" s="2"/>
      <c r="K6" s="2"/>
    </row>
    <row r="7" spans="1:11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F7/F34</f>
        <v>2.1739888766278866E-3</v>
      </c>
      <c r="F7" s="389">
        <f>Projektkennwerte!M8</f>
        <v>70000</v>
      </c>
      <c r="G7" s="104"/>
      <c r="H7" s="135">
        <v>0</v>
      </c>
      <c r="I7" s="38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G8" s="1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597">
        <f>F9/F34</f>
        <v>0.27951285556644256</v>
      </c>
      <c r="F9" s="389">
        <f>Projektkennwerte!M10</f>
        <v>9000000</v>
      </c>
      <c r="G9" s="104"/>
      <c r="H9" s="135">
        <v>0</v>
      </c>
      <c r="I9" s="389">
        <f>F9*H9</f>
        <v>0</v>
      </c>
      <c r="K9" s="50"/>
    </row>
    <row r="10" spans="1:11" ht="2.25" customHeight="1" x14ac:dyDescent="0.2">
      <c r="B10" s="4"/>
      <c r="C10" s="6"/>
      <c r="D10" s="1"/>
      <c r="E10" s="161"/>
      <c r="F10" s="174"/>
      <c r="G10" s="1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F11/F34</f>
        <v>0.25156157000979829</v>
      </c>
      <c r="F11" s="389">
        <f>Projektkennwerte!M12</f>
        <v>8100000</v>
      </c>
      <c r="G11" s="104"/>
      <c r="H11" s="633"/>
      <c r="I11" s="158"/>
      <c r="K11" s="50"/>
    </row>
    <row r="12" spans="1:11" ht="12.95" customHeight="1" x14ac:dyDescent="0.2">
      <c r="A12" s="840">
        <v>3</v>
      </c>
      <c r="B12" s="840"/>
      <c r="C12" s="109" t="s">
        <v>17</v>
      </c>
      <c r="D12" s="110" t="s">
        <v>18</v>
      </c>
      <c r="E12" s="162"/>
      <c r="F12" s="176">
        <f>_3Sanitär</f>
        <v>900000</v>
      </c>
      <c r="G12" s="104"/>
      <c r="H12" s="136">
        <v>0</v>
      </c>
      <c r="I12" s="180">
        <f t="shared" ref="I12:I20" si="0">F12*H12</f>
        <v>0</v>
      </c>
      <c r="K12" s="50"/>
    </row>
    <row r="13" spans="1:11" ht="12.95" customHeight="1" x14ac:dyDescent="0.2">
      <c r="A13" s="842">
        <v>3</v>
      </c>
      <c r="B13" s="842"/>
      <c r="C13" s="111" t="s">
        <v>19</v>
      </c>
      <c r="D13" s="112" t="s">
        <v>26</v>
      </c>
      <c r="E13" s="163"/>
      <c r="F13" s="177">
        <f>_3Heizung</f>
        <v>1000000</v>
      </c>
      <c r="G13" s="104"/>
      <c r="H13" s="136">
        <v>0</v>
      </c>
      <c r="I13" s="235">
        <f t="shared" si="0"/>
        <v>0</v>
      </c>
      <c r="K13" s="50"/>
    </row>
    <row r="14" spans="1:11" ht="12.95" customHeight="1" x14ac:dyDescent="0.2">
      <c r="A14" s="842">
        <v>3</v>
      </c>
      <c r="B14" s="842"/>
      <c r="C14" s="111" t="s">
        <v>20</v>
      </c>
      <c r="D14" s="112" t="s">
        <v>27</v>
      </c>
      <c r="E14" s="163"/>
      <c r="F14" s="178">
        <f>_3Lüftung</f>
        <v>1000000</v>
      </c>
      <c r="G14" s="104"/>
      <c r="H14" s="136">
        <v>0</v>
      </c>
      <c r="I14" s="235">
        <f t="shared" si="0"/>
        <v>0</v>
      </c>
      <c r="K14" s="50"/>
    </row>
    <row r="15" spans="1:11" ht="12.95" customHeight="1" x14ac:dyDescent="0.2">
      <c r="A15" s="842">
        <v>3</v>
      </c>
      <c r="B15" s="842"/>
      <c r="C15" s="111" t="s">
        <v>21</v>
      </c>
      <c r="D15" s="112" t="s">
        <v>28</v>
      </c>
      <c r="E15" s="163"/>
      <c r="F15" s="178">
        <f>_3Elektro</f>
        <v>1500000</v>
      </c>
      <c r="G15" s="104"/>
      <c r="H15" s="136">
        <v>0</v>
      </c>
      <c r="I15" s="235">
        <f t="shared" si="0"/>
        <v>0</v>
      </c>
      <c r="K15" s="50"/>
    </row>
    <row r="16" spans="1:11" ht="12.95" customHeight="1" x14ac:dyDescent="0.2">
      <c r="A16" s="842">
        <v>3</v>
      </c>
      <c r="B16" s="842"/>
      <c r="C16" s="111" t="s">
        <v>22</v>
      </c>
      <c r="D16" s="112" t="s">
        <v>31</v>
      </c>
      <c r="E16" s="163"/>
      <c r="F16" s="178">
        <f>_3IT</f>
        <v>600000</v>
      </c>
      <c r="G16" s="104"/>
      <c r="H16" s="136">
        <v>0</v>
      </c>
      <c r="I16" s="235">
        <f t="shared" si="0"/>
        <v>0</v>
      </c>
      <c r="K16" s="50"/>
    </row>
    <row r="17" spans="1:11" ht="12.95" customHeight="1" x14ac:dyDescent="0.2">
      <c r="A17" s="842">
        <v>3</v>
      </c>
      <c r="B17" s="842"/>
      <c r="C17" s="111" t="s">
        <v>23</v>
      </c>
      <c r="D17" s="112" t="s">
        <v>29</v>
      </c>
      <c r="E17" s="163"/>
      <c r="F17" s="178">
        <f>_3Föte</f>
        <v>1500000</v>
      </c>
      <c r="G17" s="104"/>
      <c r="H17" s="136">
        <v>0</v>
      </c>
      <c r="I17" s="235">
        <f t="shared" si="0"/>
        <v>0</v>
      </c>
      <c r="K17" s="50"/>
    </row>
    <row r="18" spans="1:11" ht="12.95" customHeight="1" x14ac:dyDescent="0.2">
      <c r="A18" s="842">
        <v>3</v>
      </c>
      <c r="B18" s="842"/>
      <c r="C18" s="111" t="s">
        <v>24</v>
      </c>
      <c r="D18" s="112" t="s">
        <v>30</v>
      </c>
      <c r="E18" s="163"/>
      <c r="F18" s="178">
        <f>_3Nutzer</f>
        <v>300000</v>
      </c>
      <c r="G18" s="104"/>
      <c r="H18" s="136">
        <v>1</v>
      </c>
      <c r="I18" s="235">
        <f t="shared" si="0"/>
        <v>300000</v>
      </c>
      <c r="K18" s="50"/>
    </row>
    <row r="19" spans="1:11" ht="12.95" customHeight="1" x14ac:dyDescent="0.2">
      <c r="A19" s="687">
        <v>3</v>
      </c>
      <c r="B19" s="687"/>
      <c r="C19" s="111" t="s">
        <v>317</v>
      </c>
      <c r="D19" s="112" t="s">
        <v>316</v>
      </c>
      <c r="E19" s="163"/>
      <c r="F19" s="178">
        <f>Projektkennwerte!M49</f>
        <v>1000000</v>
      </c>
      <c r="G19" s="104"/>
      <c r="H19" s="136">
        <v>0</v>
      </c>
      <c r="I19" s="689">
        <f t="shared" si="0"/>
        <v>0</v>
      </c>
      <c r="K19" s="50"/>
    </row>
    <row r="20" spans="1:11" ht="12.95" customHeight="1" x14ac:dyDescent="0.2">
      <c r="A20" s="842">
        <v>3</v>
      </c>
      <c r="B20" s="842"/>
      <c r="C20" s="111" t="s">
        <v>25</v>
      </c>
      <c r="D20" s="112" t="s">
        <v>8</v>
      </c>
      <c r="E20" s="163"/>
      <c r="F20" s="178">
        <f>_3GA</f>
        <v>300000</v>
      </c>
      <c r="G20" s="104"/>
      <c r="H20" s="136">
        <v>0</v>
      </c>
      <c r="I20" s="236">
        <f t="shared" si="0"/>
        <v>0</v>
      </c>
      <c r="K20" s="50"/>
    </row>
    <row r="21" spans="1:11" ht="2.25" customHeight="1" x14ac:dyDescent="0.2">
      <c r="B21" s="4"/>
      <c r="C21" s="6"/>
      <c r="D21" s="1"/>
      <c r="E21" s="161"/>
      <c r="F21" s="174"/>
      <c r="G21" s="1"/>
      <c r="H21" s="631"/>
      <c r="I21" s="174"/>
      <c r="K21" s="63"/>
    </row>
    <row r="22" spans="1:11" s="11" customFormat="1" ht="12.75" customHeight="1" x14ac:dyDescent="0.2">
      <c r="A22" s="821">
        <v>4</v>
      </c>
      <c r="B22" s="821"/>
      <c r="C22" s="106"/>
      <c r="D22" s="107" t="s">
        <v>2</v>
      </c>
      <c r="E22" s="597">
        <f>F22/F34</f>
        <v>0.20187039568687518</v>
      </c>
      <c r="F22" s="389">
        <f>Projektkennwerte!M14</f>
        <v>6500000</v>
      </c>
      <c r="G22" s="104"/>
      <c r="H22" s="135">
        <v>0</v>
      </c>
      <c r="I22" s="389">
        <f>F22*H22</f>
        <v>0</v>
      </c>
      <c r="K22" s="50"/>
    </row>
    <row r="23" spans="1:11" ht="2.25" customHeight="1" x14ac:dyDescent="0.2">
      <c r="B23" s="4"/>
      <c r="C23" s="6"/>
      <c r="D23" s="1"/>
      <c r="E23" s="161"/>
      <c r="F23" s="174"/>
      <c r="G23" s="1"/>
      <c r="H23" s="631"/>
      <c r="I23" s="174"/>
      <c r="K23" s="63"/>
    </row>
    <row r="24" spans="1:11" s="12" customFormat="1" ht="12.95" customHeight="1" x14ac:dyDescent="0.2">
      <c r="A24" s="821">
        <v>5</v>
      </c>
      <c r="B24" s="821"/>
      <c r="C24" s="106"/>
      <c r="D24" s="107" t="s">
        <v>9</v>
      </c>
      <c r="E24" s="597">
        <f>F24/F34</f>
        <v>5.1244023520514471E-2</v>
      </c>
      <c r="F24" s="389">
        <f>Projektkennwerte!M16</f>
        <v>1650000</v>
      </c>
      <c r="G24" s="104"/>
      <c r="H24" s="135"/>
      <c r="I24" s="389"/>
      <c r="K24" s="50"/>
    </row>
    <row r="25" spans="1:11" ht="2.25" customHeight="1" x14ac:dyDescent="0.2">
      <c r="B25" s="4"/>
      <c r="C25" s="6"/>
      <c r="D25" s="1"/>
      <c r="E25" s="161"/>
      <c r="F25" s="174"/>
      <c r="G25" s="1"/>
      <c r="H25" s="631"/>
      <c r="I25" s="174"/>
      <c r="K25" s="63"/>
    </row>
    <row r="26" spans="1:11" s="11" customFormat="1" ht="12.95" customHeight="1" x14ac:dyDescent="0.2">
      <c r="A26" s="821">
        <v>6</v>
      </c>
      <c r="B26" s="821"/>
      <c r="C26" s="106"/>
      <c r="D26" s="107" t="s">
        <v>3</v>
      </c>
      <c r="E26" s="597">
        <f>F26/F34</f>
        <v>1.5528491975913475E-2</v>
      </c>
      <c r="F26" s="389">
        <f>Projektkennwerte!M18</f>
        <v>500000</v>
      </c>
      <c r="G26" s="104"/>
      <c r="H26" s="135">
        <v>0</v>
      </c>
      <c r="I26" s="389">
        <f>F26*H26</f>
        <v>0</v>
      </c>
      <c r="K26" s="50"/>
    </row>
    <row r="27" spans="1:11" ht="2.25" customHeight="1" x14ac:dyDescent="0.2">
      <c r="B27" s="4"/>
      <c r="C27" s="6"/>
      <c r="D27" s="1"/>
      <c r="E27" s="161"/>
      <c r="F27" s="174"/>
      <c r="G27" s="1"/>
      <c r="H27" s="631"/>
      <c r="I27" s="174"/>
      <c r="K27" s="63"/>
    </row>
    <row r="28" spans="1:11" s="12" customFormat="1" ht="12.95" customHeight="1" x14ac:dyDescent="0.2">
      <c r="A28" s="821">
        <v>7</v>
      </c>
      <c r="B28" s="821"/>
      <c r="C28" s="106"/>
      <c r="D28" s="107" t="s">
        <v>110</v>
      </c>
      <c r="E28" s="597">
        <f>F28/F34</f>
        <v>0.14729944861863917</v>
      </c>
      <c r="F28" s="389">
        <f>Projektkennwerte!M20</f>
        <v>4742876.7985686567</v>
      </c>
      <c r="G28" s="104"/>
      <c r="H28" s="135">
        <v>0</v>
      </c>
      <c r="I28" s="389">
        <f>F28*H28</f>
        <v>0</v>
      </c>
      <c r="K28" s="50"/>
    </row>
    <row r="29" spans="1:11" ht="2.25" customHeight="1" x14ac:dyDescent="0.2">
      <c r="B29" s="4"/>
      <c r="C29" s="6"/>
      <c r="D29" s="1"/>
      <c r="E29" s="161"/>
      <c r="F29" s="174"/>
      <c r="G29" s="1"/>
      <c r="H29" s="631"/>
      <c r="I29" s="174"/>
      <c r="K29" s="63"/>
    </row>
    <row r="30" spans="1:11" s="12" customFormat="1" ht="12.95" customHeight="1" x14ac:dyDescent="0.2">
      <c r="A30" s="821">
        <v>8</v>
      </c>
      <c r="B30" s="821"/>
      <c r="C30" s="106"/>
      <c r="D30" s="107" t="s">
        <v>105</v>
      </c>
      <c r="E30" s="597">
        <f>F30/F34</f>
        <v>1.1180514222657702E-3</v>
      </c>
      <c r="F30" s="389">
        <f>Projektkennwerte!M22</f>
        <v>36000</v>
      </c>
      <c r="G30" s="104"/>
      <c r="H30" s="135">
        <v>0</v>
      </c>
      <c r="I30" s="389">
        <f>F30*H30</f>
        <v>0</v>
      </c>
      <c r="K30" s="50"/>
    </row>
    <row r="31" spans="1:11" ht="2.25" customHeight="1" x14ac:dyDescent="0.2">
      <c r="B31" s="4"/>
      <c r="C31" s="6"/>
      <c r="D31" s="1"/>
      <c r="E31" s="161"/>
      <c r="F31" s="174"/>
      <c r="G31" s="1"/>
      <c r="H31" s="631"/>
      <c r="I31" s="174"/>
      <c r="K31" s="63"/>
    </row>
    <row r="32" spans="1:11" s="12" customFormat="1" ht="12.95" customHeight="1" x14ac:dyDescent="0.2">
      <c r="A32" s="821">
        <v>9</v>
      </c>
      <c r="B32" s="821"/>
      <c r="C32" s="106"/>
      <c r="D32" s="107" t="s">
        <v>10</v>
      </c>
      <c r="E32" s="597">
        <f>F32/F34</f>
        <v>4.9691174322923123E-2</v>
      </c>
      <c r="F32" s="389">
        <f>Projektkennwerte!M24</f>
        <v>1600000</v>
      </c>
      <c r="G32" s="104"/>
      <c r="H32" s="135">
        <v>0.01</v>
      </c>
      <c r="I32" s="389">
        <f>F32*H32</f>
        <v>16000</v>
      </c>
      <c r="K32" s="50"/>
    </row>
    <row r="33" spans="1:13" ht="12" customHeight="1" x14ac:dyDescent="0.2">
      <c r="B33" s="17"/>
      <c r="C33" s="5"/>
      <c r="D33" s="1"/>
      <c r="E33" s="47"/>
      <c r="F33" s="1"/>
      <c r="G33" s="1"/>
      <c r="H33" s="138"/>
      <c r="I33" s="1"/>
      <c r="K33" s="1"/>
    </row>
    <row r="34" spans="1:13" ht="12.95" customHeight="1" x14ac:dyDescent="0.25">
      <c r="A34" s="144" t="s">
        <v>12</v>
      </c>
      <c r="B34" s="145"/>
      <c r="C34" s="145"/>
      <c r="D34" s="145"/>
      <c r="E34" s="102">
        <f>SUM(E7:E32)</f>
        <v>0.99999999999999989</v>
      </c>
      <c r="F34" s="118">
        <f>SUM(F7+F9+F11+F22+F24+F26+F28+F30+F32)</f>
        <v>32198876.798568659</v>
      </c>
      <c r="G34" s="92"/>
      <c r="H34" s="216"/>
      <c r="I34" s="30"/>
      <c r="K34" s="30"/>
    </row>
    <row r="35" spans="1:13" ht="4.5" customHeight="1" x14ac:dyDescent="0.2">
      <c r="B35" s="13"/>
      <c r="C35" s="13"/>
      <c r="D35" s="14"/>
      <c r="E35" s="1"/>
      <c r="F35" s="47"/>
      <c r="G35" s="1"/>
      <c r="H35" s="19"/>
      <c r="I35" s="15"/>
      <c r="K35" s="18"/>
    </row>
    <row r="36" spans="1:13" s="92" customFormat="1" ht="12.95" customHeight="1" x14ac:dyDescent="0.3">
      <c r="A36" s="512" t="s">
        <v>32</v>
      </c>
      <c r="B36" s="513"/>
      <c r="C36" s="513"/>
      <c r="D36" s="513"/>
      <c r="E36" s="505"/>
      <c r="F36" s="505"/>
      <c r="G36" s="505"/>
      <c r="H36" s="338"/>
      <c r="I36" s="146">
        <f>SUM(I7:I32)</f>
        <v>316000</v>
      </c>
      <c r="K36" s="444"/>
    </row>
    <row r="37" spans="1:13" s="92" customFormat="1" ht="12.95" customHeight="1" x14ac:dyDescent="0.3">
      <c r="A37" s="435"/>
      <c r="B37" s="149"/>
      <c r="C37" s="149"/>
      <c r="D37" s="149"/>
      <c r="H37" s="436"/>
      <c r="I37" s="437"/>
      <c r="K37" s="444"/>
    </row>
    <row r="38" spans="1:13" ht="12.75" customHeight="1" x14ac:dyDescent="0.2">
      <c r="A38" s="340" t="s">
        <v>83</v>
      </c>
      <c r="B38" s="341"/>
      <c r="C38" s="341"/>
      <c r="D38" s="341"/>
      <c r="E38" s="341"/>
      <c r="F38" s="341"/>
      <c r="G38" s="341"/>
      <c r="H38" s="341"/>
      <c r="I38" s="359"/>
      <c r="K38" s="18"/>
    </row>
    <row r="39" spans="1:13" ht="4.5" customHeight="1" x14ac:dyDescent="0.2">
      <c r="B39" s="13"/>
      <c r="C39" s="13"/>
      <c r="D39" s="14"/>
      <c r="E39" s="1"/>
      <c r="F39" s="47"/>
      <c r="G39" s="1"/>
      <c r="H39" s="19"/>
      <c r="I39" s="15"/>
      <c r="K39" s="18"/>
    </row>
    <row r="40" spans="1:13" ht="12.75" customHeight="1" x14ac:dyDescent="0.2">
      <c r="A40" s="25"/>
      <c r="B40" s="25"/>
      <c r="C40" s="25"/>
      <c r="D40" s="1"/>
      <c r="E40" s="1"/>
      <c r="F40" s="197" t="s">
        <v>5</v>
      </c>
      <c r="H40" s="198" t="s">
        <v>4</v>
      </c>
      <c r="I40" s="309"/>
      <c r="K40" s="58"/>
    </row>
    <row r="41" spans="1:13" ht="12.75" customHeight="1" x14ac:dyDescent="0.2">
      <c r="B41" s="26" t="s">
        <v>46</v>
      </c>
      <c r="C41" s="60"/>
      <c r="D41" s="51"/>
      <c r="E41" s="51"/>
      <c r="F41" s="151">
        <v>20</v>
      </c>
      <c r="G41" s="199"/>
      <c r="H41" s="199" t="s">
        <v>58</v>
      </c>
      <c r="I41" s="309"/>
      <c r="K41" s="58"/>
    </row>
    <row r="42" spans="1:13" ht="12.75" customHeight="1" x14ac:dyDescent="0.2">
      <c r="B42" s="27" t="s">
        <v>47</v>
      </c>
      <c r="C42" s="61"/>
      <c r="D42" s="52"/>
      <c r="E42" s="52"/>
      <c r="F42" s="151">
        <v>2</v>
      </c>
      <c r="G42" s="199"/>
      <c r="H42" s="200" t="s">
        <v>6</v>
      </c>
      <c r="I42" s="309"/>
      <c r="K42" s="58"/>
    </row>
    <row r="43" spans="1:13" ht="12.75" customHeight="1" x14ac:dyDescent="0.2">
      <c r="B43" s="27" t="s">
        <v>48</v>
      </c>
      <c r="C43" s="61"/>
      <c r="D43" s="52"/>
      <c r="E43" s="52"/>
      <c r="F43" s="151">
        <v>1</v>
      </c>
      <c r="G43" s="199"/>
      <c r="H43" s="200" t="s">
        <v>6</v>
      </c>
      <c r="I43" s="309"/>
      <c r="K43" s="58"/>
    </row>
    <row r="44" spans="1:13" ht="12.75" customHeight="1" x14ac:dyDescent="0.2">
      <c r="B44" s="27" t="s">
        <v>49</v>
      </c>
      <c r="C44" s="52"/>
      <c r="D44" s="52"/>
      <c r="E44" s="52"/>
      <c r="F44" s="151">
        <v>2</v>
      </c>
      <c r="G44" s="199"/>
      <c r="H44" s="200" t="s">
        <v>6</v>
      </c>
      <c r="I44" s="309"/>
      <c r="K44" s="58"/>
    </row>
    <row r="45" spans="1:13" ht="4.5" customHeight="1" x14ac:dyDescent="0.2">
      <c r="A45" s="40"/>
      <c r="B45" s="40"/>
      <c r="C45" s="40"/>
      <c r="D45" s="1"/>
      <c r="E45" s="1"/>
      <c r="F45" s="201"/>
      <c r="G45" s="199"/>
      <c r="H45" s="201"/>
      <c r="I45" s="309"/>
      <c r="K45" s="58"/>
    </row>
    <row r="46" spans="1:13" ht="12.75" customHeight="1" x14ac:dyDescent="0.25">
      <c r="B46" s="27" t="s">
        <v>141</v>
      </c>
      <c r="C46" s="61"/>
      <c r="D46" s="52"/>
      <c r="E46" s="52"/>
      <c r="F46" s="563"/>
      <c r="G46" s="329"/>
      <c r="H46" s="200" t="s">
        <v>57</v>
      </c>
      <c r="I46" s="309"/>
      <c r="J46" s="58"/>
      <c r="K46" s="554"/>
      <c r="L46" s="554"/>
      <c r="M46" s="554"/>
    </row>
    <row r="47" spans="1:13" ht="12.75" customHeight="1" x14ac:dyDescent="0.25">
      <c r="B47" s="27" t="s">
        <v>185</v>
      </c>
      <c r="C47" s="61"/>
      <c r="D47" s="52"/>
      <c r="E47" s="52"/>
      <c r="F47" s="563"/>
      <c r="G47" s="329"/>
      <c r="H47" s="200" t="s">
        <v>57</v>
      </c>
      <c r="I47" s="309"/>
      <c r="J47" s="58"/>
      <c r="K47" s="554"/>
      <c r="L47" s="554"/>
      <c r="M47" s="554"/>
    </row>
    <row r="48" spans="1:13" ht="12.75" customHeight="1" x14ac:dyDescent="0.25">
      <c r="B48" s="27" t="s">
        <v>143</v>
      </c>
      <c r="C48" s="61"/>
      <c r="D48" s="52"/>
      <c r="E48" s="52"/>
      <c r="F48" s="563"/>
      <c r="G48" s="329"/>
      <c r="H48" s="200" t="s">
        <v>57</v>
      </c>
      <c r="I48" s="309"/>
      <c r="J48" s="58"/>
      <c r="K48" s="554"/>
      <c r="L48" s="554"/>
      <c r="M48" s="554"/>
    </row>
    <row r="49" spans="1:16" ht="12.75" customHeight="1" x14ac:dyDescent="0.25">
      <c r="B49" s="27" t="s">
        <v>144</v>
      </c>
      <c r="C49" s="61"/>
      <c r="D49" s="52"/>
      <c r="E49" s="52"/>
      <c r="F49" s="563"/>
      <c r="G49" s="329"/>
      <c r="H49" s="200" t="s">
        <v>57</v>
      </c>
      <c r="I49" s="309"/>
      <c r="J49" s="58"/>
      <c r="K49" s="554"/>
      <c r="L49" s="554"/>
      <c r="M49" s="554"/>
    </row>
    <row r="50" spans="1:16" ht="12.75" customHeight="1" x14ac:dyDescent="0.25">
      <c r="B50" s="27" t="s">
        <v>181</v>
      </c>
      <c r="C50" s="61"/>
      <c r="D50" s="52"/>
      <c r="E50" s="52"/>
      <c r="F50" s="563"/>
      <c r="G50" s="329"/>
      <c r="H50" s="200" t="s">
        <v>163</v>
      </c>
      <c r="I50" s="309"/>
      <c r="J50" s="58"/>
      <c r="K50" s="554"/>
      <c r="L50" s="554"/>
      <c r="M50" s="554"/>
    </row>
    <row r="51" spans="1:16" ht="12.75" customHeight="1" x14ac:dyDescent="0.25">
      <c r="B51" s="27" t="s">
        <v>183</v>
      </c>
      <c r="C51" s="61"/>
      <c r="D51" s="52"/>
      <c r="E51" s="52"/>
      <c r="F51" s="563"/>
      <c r="G51" s="329"/>
      <c r="H51" s="200" t="s">
        <v>160</v>
      </c>
      <c r="I51" s="309"/>
      <c r="J51" s="58"/>
      <c r="K51" s="554"/>
      <c r="L51" s="554"/>
      <c r="M51" s="554"/>
    </row>
    <row r="52" spans="1:16" ht="12.75" customHeight="1" x14ac:dyDescent="0.25">
      <c r="B52" s="27" t="s">
        <v>182</v>
      </c>
      <c r="C52" s="61"/>
      <c r="D52" s="52"/>
      <c r="E52" s="52"/>
      <c r="F52" s="563"/>
      <c r="G52" s="329"/>
      <c r="H52" s="200" t="s">
        <v>6</v>
      </c>
      <c r="I52" s="309"/>
      <c r="J52" s="1"/>
      <c r="K52" s="554"/>
    </row>
    <row r="53" spans="1:16" ht="12.75" customHeight="1" x14ac:dyDescent="0.25">
      <c r="B53" s="27" t="s">
        <v>186</v>
      </c>
      <c r="C53" s="61"/>
      <c r="D53" s="52"/>
      <c r="E53" s="52"/>
      <c r="F53" s="563"/>
      <c r="G53" s="329"/>
      <c r="H53" s="200" t="s">
        <v>57</v>
      </c>
      <c r="I53" s="309"/>
      <c r="J53" s="1"/>
      <c r="K53" s="554"/>
    </row>
    <row r="54" spans="1:16" ht="12.75" customHeight="1" x14ac:dyDescent="0.25">
      <c r="B54" s="27" t="s">
        <v>187</v>
      </c>
      <c r="C54" s="61"/>
      <c r="D54" s="52"/>
      <c r="E54" s="52"/>
      <c r="F54" s="563"/>
      <c r="G54" s="329"/>
      <c r="H54" s="200" t="s">
        <v>57</v>
      </c>
      <c r="I54" s="309"/>
      <c r="J54" s="1"/>
      <c r="K54" s="554"/>
    </row>
    <row r="55" spans="1:16" ht="4.5" customHeight="1" x14ac:dyDescent="0.2">
      <c r="A55" s="40"/>
      <c r="B55" s="40"/>
      <c r="C55" s="1"/>
      <c r="D55" s="203"/>
      <c r="E55" s="203"/>
      <c r="F55" s="203"/>
      <c r="H55" s="203"/>
      <c r="I55" s="309"/>
      <c r="K55" s="1"/>
    </row>
    <row r="56" spans="1:16" ht="12.75" customHeight="1" x14ac:dyDescent="0.2">
      <c r="B56" s="25" t="s">
        <v>45</v>
      </c>
      <c r="C56" s="1"/>
      <c r="D56" s="202"/>
      <c r="E56" s="203"/>
      <c r="F56" s="222">
        <f>SUM(F41:F54)</f>
        <v>25</v>
      </c>
      <c r="H56" s="203"/>
      <c r="I56" s="309"/>
      <c r="K56" s="1"/>
    </row>
    <row r="57" spans="1:16" ht="12.95" customHeight="1" x14ac:dyDescent="0.2">
      <c r="B57" s="40"/>
      <c r="C57" s="1"/>
      <c r="D57" s="203"/>
      <c r="E57" s="203"/>
      <c r="F57" s="203"/>
      <c r="H57" s="203"/>
      <c r="I57" s="309"/>
      <c r="K57" s="1"/>
    </row>
    <row r="58" spans="1:16" ht="12.95" customHeight="1" x14ac:dyDescent="0.2">
      <c r="A58" s="527" t="s">
        <v>171</v>
      </c>
      <c r="B58" s="340"/>
      <c r="C58" s="341"/>
      <c r="D58" s="341"/>
      <c r="E58" s="341"/>
      <c r="F58" s="341"/>
      <c r="G58" s="343"/>
      <c r="H58" s="341"/>
      <c r="I58" s="358"/>
      <c r="K58" s="18"/>
    </row>
    <row r="59" spans="1:16" ht="4.5" customHeight="1" x14ac:dyDescent="0.2">
      <c r="A59" s="205"/>
      <c r="B59" s="205"/>
      <c r="C59" s="205"/>
      <c r="D59" s="205"/>
      <c r="F59" s="8"/>
      <c r="I59" s="1"/>
      <c r="K59" s="18"/>
    </row>
    <row r="60" spans="1:16" ht="14.25" customHeight="1" x14ac:dyDescent="0.2">
      <c r="A60" s="206" t="s">
        <v>11</v>
      </c>
      <c r="B60" s="206"/>
      <c r="C60" s="1"/>
      <c r="F60" s="230">
        <f>I36</f>
        <v>316000</v>
      </c>
      <c r="I60" s="1"/>
      <c r="K60" s="18"/>
      <c r="P60" s="73"/>
    </row>
    <row r="61" spans="1:16" s="258" customFormat="1" ht="14.25" customHeight="1" x14ac:dyDescent="0.3">
      <c r="A61" s="257" t="s">
        <v>78</v>
      </c>
      <c r="B61" s="257"/>
      <c r="C61" s="257"/>
      <c r="F61" s="260">
        <f>0.03*F56+0.73</f>
        <v>1.48</v>
      </c>
      <c r="H61" s="261"/>
      <c r="I61" s="446"/>
      <c r="K61" s="18"/>
    </row>
    <row r="62" spans="1:16" ht="14.25" customHeight="1" x14ac:dyDescent="0.25">
      <c r="A62" s="28" t="s">
        <v>81</v>
      </c>
      <c r="B62" s="28"/>
      <c r="C62" s="28"/>
      <c r="D62" s="1"/>
      <c r="E62" s="1"/>
      <c r="F62" s="251">
        <f>ROUND(IF(F60&lt;2000000,202*F60^(-0.2248)*F61/100,(37.8*F60^(-0.109)*F61/100)),4)</f>
        <v>0.17349999999999999</v>
      </c>
      <c r="I62" s="525"/>
      <c r="K62" s="18"/>
    </row>
    <row r="63" spans="1:16" s="258" customFormat="1" ht="14.25" customHeight="1" x14ac:dyDescent="0.3">
      <c r="A63" s="257" t="s">
        <v>93</v>
      </c>
      <c r="B63" s="257"/>
      <c r="C63" s="257"/>
      <c r="F63" s="439">
        <f>202*F60^(-0.2248)*F61/100</f>
        <v>0.17349358798440129</v>
      </c>
      <c r="G63" s="259" t="str">
        <f>IF(F60&lt;2000000,"(PL + ÖBA)","")</f>
        <v>(PL + ÖBA)</v>
      </c>
      <c r="H63" s="259"/>
      <c r="I63" s="446"/>
      <c r="K63" s="18"/>
    </row>
    <row r="64" spans="1:16" s="258" customFormat="1" ht="14.25" customHeight="1" x14ac:dyDescent="0.3">
      <c r="A64" s="257" t="s">
        <v>94</v>
      </c>
      <c r="B64" s="257"/>
      <c r="C64" s="257"/>
      <c r="D64" s="257"/>
      <c r="F64" s="439">
        <f>37.8*F60^(-0.109)*F61/100</f>
        <v>0.14069790254237735</v>
      </c>
      <c r="H64" s="259"/>
      <c r="I64" s="446"/>
      <c r="K64" s="18"/>
    </row>
    <row r="65" spans="1:18" ht="14.25" customHeight="1" x14ac:dyDescent="0.3">
      <c r="A65" s="311" t="s">
        <v>79</v>
      </c>
      <c r="B65" s="25"/>
      <c r="C65" s="25"/>
      <c r="D65" s="312"/>
      <c r="E65" s="208"/>
      <c r="F65" s="326">
        <f>ROUND(F60*F62,2)</f>
        <v>54826</v>
      </c>
      <c r="G65" s="551" t="s">
        <v>174</v>
      </c>
      <c r="H65" s="209"/>
      <c r="I65" s="1"/>
      <c r="J65" s="15"/>
      <c r="K65" s="18"/>
    </row>
    <row r="66" spans="1:18" ht="15" customHeight="1" x14ac:dyDescent="0.2">
      <c r="A66" s="311"/>
      <c r="B66" s="25"/>
      <c r="C66" s="25"/>
      <c r="D66" s="312"/>
      <c r="E66" s="208"/>
      <c r="F66" s="209"/>
      <c r="G66" s="198"/>
      <c r="H66" s="209"/>
      <c r="I66" s="326"/>
      <c r="J66" s="15"/>
      <c r="K66" s="18"/>
    </row>
    <row r="67" spans="1:18" ht="12.95" customHeight="1" x14ac:dyDescent="0.2">
      <c r="A67" s="528" t="s">
        <v>170</v>
      </c>
      <c r="B67" s="351"/>
      <c r="C67" s="351"/>
      <c r="D67" s="352"/>
      <c r="E67" s="352"/>
      <c r="F67" s="353"/>
      <c r="G67" s="343"/>
      <c r="H67" s="353"/>
      <c r="I67" s="342"/>
      <c r="J67" s="41"/>
      <c r="K67" s="18"/>
    </row>
    <row r="68" spans="1:18" ht="6" customHeight="1" x14ac:dyDescent="0.2">
      <c r="B68" s="13"/>
      <c r="C68" s="13"/>
      <c r="D68" s="14"/>
      <c r="E68" s="1"/>
      <c r="F68" s="47"/>
      <c r="G68" s="14"/>
      <c r="H68" s="19"/>
      <c r="J68" s="18"/>
    </row>
    <row r="69" spans="1:18" ht="12.75" customHeight="1" x14ac:dyDescent="0.25">
      <c r="A69" s="210" t="s">
        <v>53</v>
      </c>
      <c r="B69" s="210"/>
      <c r="C69" s="420"/>
      <c r="D69" s="1"/>
      <c r="E69" s="287">
        <v>0.02</v>
      </c>
      <c r="F69" s="243">
        <v>0.02</v>
      </c>
      <c r="H69" s="212">
        <v>1</v>
      </c>
      <c r="I69" s="621">
        <f>IF($F$60=0,"-",$F$65*F69)</f>
        <v>1096.52</v>
      </c>
      <c r="J69" s="514"/>
      <c r="R69" s="73"/>
    </row>
    <row r="70" spans="1:18" ht="12.75" customHeight="1" x14ac:dyDescent="0.25">
      <c r="A70" s="210" t="s">
        <v>36</v>
      </c>
      <c r="B70" s="210"/>
      <c r="C70" s="420"/>
      <c r="D70" s="1"/>
      <c r="E70" s="288">
        <v>0.08</v>
      </c>
      <c r="F70" s="429">
        <v>0.08</v>
      </c>
      <c r="H70" s="212">
        <v>2</v>
      </c>
      <c r="I70" s="621">
        <f t="shared" ref="I70:I81" si="1">IF($F$60=0,"-",$F$65*F70)</f>
        <v>4386.08</v>
      </c>
      <c r="J70" s="514"/>
    </row>
    <row r="71" spans="1:18" ht="12.75" customHeight="1" x14ac:dyDescent="0.25">
      <c r="A71" s="210" t="s">
        <v>37</v>
      </c>
      <c r="B71" s="210"/>
      <c r="C71" s="420"/>
      <c r="D71" s="1"/>
      <c r="E71" s="288">
        <v>0.12</v>
      </c>
      <c r="F71" s="429">
        <v>0.12</v>
      </c>
      <c r="H71" s="212">
        <v>3</v>
      </c>
      <c r="I71" s="621">
        <f t="shared" si="1"/>
        <v>6579.12</v>
      </c>
      <c r="J71" s="514"/>
    </row>
    <row r="72" spans="1:18" ht="12.75" customHeight="1" x14ac:dyDescent="0.25">
      <c r="A72" s="210" t="s">
        <v>38</v>
      </c>
      <c r="B72" s="210"/>
      <c r="C72" s="420"/>
      <c r="D72" s="1"/>
      <c r="E72" s="288">
        <v>0.05</v>
      </c>
      <c r="F72" s="429">
        <v>0.05</v>
      </c>
      <c r="H72" s="212">
        <v>4</v>
      </c>
      <c r="I72" s="621">
        <f t="shared" si="1"/>
        <v>2741.3</v>
      </c>
      <c r="J72" s="514"/>
      <c r="L72" s="1" t="s">
        <v>95</v>
      </c>
    </row>
    <row r="73" spans="1:18" ht="12.75" customHeight="1" x14ac:dyDescent="0.25">
      <c r="A73" s="210" t="s">
        <v>39</v>
      </c>
      <c r="B73" s="210"/>
      <c r="C73" s="420"/>
      <c r="D73" s="1"/>
      <c r="E73" s="288">
        <v>0.22</v>
      </c>
      <c r="F73" s="429">
        <v>0.22</v>
      </c>
      <c r="H73" s="212">
        <v>5</v>
      </c>
      <c r="I73" s="621">
        <f t="shared" si="1"/>
        <v>12061.72</v>
      </c>
      <c r="J73" s="514"/>
    </row>
    <row r="74" spans="1:18" ht="12.75" customHeight="1" x14ac:dyDescent="0.25">
      <c r="A74" s="210" t="s">
        <v>40</v>
      </c>
      <c r="B74" s="210"/>
      <c r="C74" s="420"/>
      <c r="D74" s="1"/>
      <c r="E74" s="288">
        <v>7.0000000000000007E-2</v>
      </c>
      <c r="F74" s="429">
        <v>7.0000000000000007E-2</v>
      </c>
      <c r="H74" s="212">
        <v>6</v>
      </c>
      <c r="I74" s="621">
        <f t="shared" si="1"/>
        <v>3837.82</v>
      </c>
      <c r="J74" s="514"/>
    </row>
    <row r="75" spans="1:18" ht="12.75" customHeight="1" x14ac:dyDescent="0.25">
      <c r="A75" s="210" t="s">
        <v>61</v>
      </c>
      <c r="B75" s="210"/>
      <c r="C75" s="420"/>
      <c r="D75" s="1"/>
      <c r="E75" s="288">
        <v>0.03</v>
      </c>
      <c r="F75" s="429">
        <v>0.03</v>
      </c>
      <c r="H75" s="212"/>
      <c r="I75" s="621">
        <f t="shared" si="1"/>
        <v>1644.78</v>
      </c>
      <c r="J75" s="514"/>
    </row>
    <row r="76" spans="1:18" ht="12.75" customHeight="1" x14ac:dyDescent="0.25">
      <c r="A76" s="210" t="s">
        <v>54</v>
      </c>
      <c r="B76" s="210"/>
      <c r="C76" s="420"/>
      <c r="D76" s="1"/>
      <c r="E76" s="288">
        <v>0.04</v>
      </c>
      <c r="F76" s="429">
        <v>0.04</v>
      </c>
      <c r="H76" s="212">
        <v>7</v>
      </c>
      <c r="I76" s="621">
        <f t="shared" si="1"/>
        <v>2193.04</v>
      </c>
      <c r="J76" s="514"/>
    </row>
    <row r="77" spans="1:18" ht="12.75" customHeight="1" x14ac:dyDescent="0.25">
      <c r="A77" s="193" t="s">
        <v>80</v>
      </c>
      <c r="B77" s="193"/>
      <c r="C77" s="420"/>
      <c r="D77" s="1"/>
      <c r="E77" s="288">
        <v>0.35</v>
      </c>
      <c r="F77" s="429">
        <v>0.35</v>
      </c>
      <c r="H77" s="212">
        <v>8</v>
      </c>
      <c r="I77" s="621">
        <f t="shared" si="1"/>
        <v>19189.099999999999</v>
      </c>
      <c r="J77" s="514"/>
    </row>
    <row r="78" spans="1:18" ht="12.75" customHeight="1" x14ac:dyDescent="0.25">
      <c r="A78" s="294" t="s">
        <v>55</v>
      </c>
      <c r="B78" s="294"/>
      <c r="C78" s="295"/>
      <c r="D78" s="1"/>
      <c r="E78" s="292">
        <v>0.02</v>
      </c>
      <c r="F78" s="430">
        <v>0.02</v>
      </c>
      <c r="H78" s="296">
        <v>9</v>
      </c>
      <c r="I78" s="621">
        <f t="shared" si="1"/>
        <v>1096.52</v>
      </c>
      <c r="J78" s="514"/>
    </row>
    <row r="79" spans="1:18" s="303" customFormat="1" ht="12.75" customHeight="1" x14ac:dyDescent="0.25">
      <c r="A79" s="580" t="s">
        <v>164</v>
      </c>
      <c r="B79" s="580"/>
      <c r="C79" s="581"/>
      <c r="E79" s="582"/>
      <c r="F79" s="609">
        <v>0</v>
      </c>
      <c r="I79" s="622">
        <f t="shared" si="1"/>
        <v>0</v>
      </c>
      <c r="J79" s="301"/>
      <c r="K79" s="302"/>
      <c r="L79" s="302"/>
      <c r="M79" s="302"/>
    </row>
    <row r="80" spans="1:18" s="303" customFormat="1" ht="12.75" customHeight="1" x14ac:dyDescent="0.25">
      <c r="A80" s="580" t="s">
        <v>164</v>
      </c>
      <c r="B80" s="580"/>
      <c r="C80" s="581"/>
      <c r="E80" s="582"/>
      <c r="F80" s="609">
        <v>0</v>
      </c>
      <c r="I80" s="622">
        <f t="shared" si="1"/>
        <v>0</v>
      </c>
      <c r="J80" s="301"/>
      <c r="K80" s="302"/>
      <c r="L80" s="302"/>
      <c r="M80" s="302"/>
    </row>
    <row r="81" spans="1:14" s="303" customFormat="1" ht="12.75" customHeight="1" x14ac:dyDescent="0.25">
      <c r="A81" s="297" t="s">
        <v>164</v>
      </c>
      <c r="B81" s="297"/>
      <c r="C81" s="298"/>
      <c r="D81" s="299"/>
      <c r="E81" s="300"/>
      <c r="F81" s="610">
        <v>0</v>
      </c>
      <c r="G81" s="299"/>
      <c r="I81" s="622">
        <f t="shared" si="1"/>
        <v>0</v>
      </c>
      <c r="J81" s="301"/>
      <c r="K81" s="302"/>
      <c r="L81" s="302"/>
      <c r="M81" s="302"/>
    </row>
    <row r="82" spans="1:14" s="258" customFormat="1" ht="13.5" customHeight="1" x14ac:dyDescent="0.25">
      <c r="A82" s="213" t="s">
        <v>190</v>
      </c>
      <c r="B82" s="262"/>
      <c r="C82" s="257"/>
      <c r="E82" s="613">
        <f>SUM(E69:E78)</f>
        <v>1</v>
      </c>
      <c r="F82" s="264">
        <f>SUM(F69:F81)</f>
        <v>1</v>
      </c>
      <c r="H82" s="618"/>
      <c r="I82" s="623">
        <f>SUM(I69:I81)</f>
        <v>54825.999999999993</v>
      </c>
      <c r="J82" s="265"/>
      <c r="K82" s="59"/>
    </row>
    <row r="83" spans="1:14" ht="12.75" customHeight="1" x14ac:dyDescent="0.25">
      <c r="F83" s="247"/>
      <c r="J83" s="188"/>
    </row>
    <row r="84" spans="1:14" ht="12.75" customHeight="1" x14ac:dyDescent="0.2">
      <c r="A84" s="549" t="s">
        <v>172</v>
      </c>
      <c r="B84" s="549"/>
      <c r="C84" s="549"/>
      <c r="D84" s="549"/>
      <c r="E84" s="549"/>
      <c r="F84" s="549"/>
      <c r="G84" s="549"/>
      <c r="H84" s="549"/>
      <c r="I84" s="549"/>
      <c r="J84" s="147"/>
      <c r="K84" s="3"/>
      <c r="L84" s="143"/>
      <c r="M84" s="143"/>
    </row>
    <row r="85" spans="1:14" s="32" customFormat="1" ht="4.5" customHeight="1" x14ac:dyDescent="0.2">
      <c r="B85" s="33"/>
      <c r="C85" s="34"/>
      <c r="D85" s="34"/>
      <c r="E85" s="65"/>
      <c r="F85" s="67"/>
      <c r="G85" s="93"/>
      <c r="H85" s="93"/>
      <c r="I85" s="119"/>
      <c r="K85" s="36"/>
    </row>
    <row r="86" spans="1:14" ht="12.75" customHeight="1" x14ac:dyDescent="0.3">
      <c r="A86" s="311" t="s">
        <v>79</v>
      </c>
      <c r="B86" s="529"/>
      <c r="C86" s="529"/>
      <c r="D86" s="529"/>
      <c r="E86" s="316"/>
      <c r="F86" s="552"/>
      <c r="G86" s="828"/>
      <c r="H86" s="829"/>
      <c r="I86" s="599">
        <f>I82</f>
        <v>54825.999999999993</v>
      </c>
      <c r="J86" s="529"/>
      <c r="K86" s="530"/>
      <c r="L86" s="530"/>
      <c r="M86" s="530"/>
    </row>
    <row r="87" spans="1:14" ht="12.75" customHeight="1" x14ac:dyDescent="0.25">
      <c r="A87" s="48" t="s">
        <v>113</v>
      </c>
      <c r="F87" s="547">
        <v>0</v>
      </c>
      <c r="G87" s="572"/>
      <c r="H87" s="548">
        <v>0</v>
      </c>
      <c r="I87" s="599">
        <f>F87*H87</f>
        <v>0</v>
      </c>
      <c r="L87" s="530"/>
      <c r="M87" s="530"/>
      <c r="N87" s="530"/>
    </row>
    <row r="88" spans="1:14" s="32" customFormat="1" ht="4.5" customHeight="1" x14ac:dyDescent="0.2">
      <c r="B88" s="33"/>
      <c r="C88" s="34"/>
      <c r="D88" s="34"/>
      <c r="E88" s="65"/>
      <c r="F88" s="67"/>
      <c r="G88" s="93"/>
      <c r="H88" s="93"/>
      <c r="I88" s="119"/>
      <c r="K88" s="36"/>
    </row>
    <row r="89" spans="1:14" s="32" customFormat="1" ht="12.75" x14ac:dyDescent="0.2">
      <c r="A89" s="532" t="s">
        <v>177</v>
      </c>
      <c r="B89" s="533"/>
      <c r="C89" s="534"/>
      <c r="D89" s="534"/>
      <c r="E89" s="535"/>
      <c r="F89" s="537"/>
      <c r="G89" s="535"/>
      <c r="H89" s="535"/>
      <c r="I89" s="536">
        <f>I86+I87</f>
        <v>54825.999999999993</v>
      </c>
      <c r="K89" s="36"/>
    </row>
    <row r="90" spans="1:14" s="32" customFormat="1" ht="4.5" customHeight="1" x14ac:dyDescent="0.2">
      <c r="B90" s="33"/>
      <c r="C90" s="34"/>
      <c r="D90" s="34"/>
      <c r="E90" s="65"/>
      <c r="F90" s="67"/>
      <c r="G90" s="93"/>
      <c r="H90" s="93"/>
      <c r="I90" s="119"/>
      <c r="K90" s="36"/>
    </row>
    <row r="91" spans="1:14" s="32" customFormat="1" ht="12.75" x14ac:dyDescent="0.2">
      <c r="A91" s="68" t="s">
        <v>13</v>
      </c>
      <c r="B91" s="33"/>
      <c r="C91" s="34"/>
      <c r="D91" s="34"/>
      <c r="E91" s="76"/>
      <c r="F91" s="546">
        <v>0.04</v>
      </c>
      <c r="G91" s="334"/>
      <c r="H91" s="94"/>
      <c r="I91" s="120">
        <f>ROUND(I89*F91,2)</f>
        <v>2193.04</v>
      </c>
      <c r="K91" s="36"/>
    </row>
    <row r="92" spans="1:14" s="32" customFormat="1" ht="3" customHeight="1" x14ac:dyDescent="0.2">
      <c r="A92" s="69"/>
      <c r="B92" s="70"/>
      <c r="C92" s="71"/>
      <c r="D92" s="71"/>
      <c r="E92" s="77"/>
      <c r="F92" s="240"/>
      <c r="G92" s="249"/>
      <c r="H92" s="95"/>
      <c r="I92" s="121"/>
      <c r="K92" s="36"/>
    </row>
    <row r="93" spans="1:14" s="32" customFormat="1" ht="3" customHeight="1" x14ac:dyDescent="0.2">
      <c r="B93" s="33"/>
      <c r="C93" s="34"/>
      <c r="D93" s="34"/>
      <c r="E93" s="79"/>
      <c r="F93" s="241"/>
      <c r="G93" s="335"/>
      <c r="H93" s="96"/>
      <c r="I93" s="119"/>
      <c r="K93" s="36"/>
    </row>
    <row r="94" spans="1:14" s="32" customFormat="1" ht="12.75" x14ac:dyDescent="0.2">
      <c r="A94" s="532" t="s">
        <v>178</v>
      </c>
      <c r="B94" s="533"/>
      <c r="C94" s="534"/>
      <c r="D94" s="534"/>
      <c r="E94" s="363"/>
      <c r="F94" s="362"/>
      <c r="G94" s="362"/>
      <c r="H94" s="360"/>
      <c r="I94" s="536">
        <f>I89+I91</f>
        <v>57019.039999999994</v>
      </c>
      <c r="K94" s="36"/>
    </row>
    <row r="95" spans="1:14" s="32" customFormat="1" ht="4.5" customHeight="1" x14ac:dyDescent="0.2">
      <c r="A95" s="73"/>
      <c r="B95" s="74"/>
      <c r="C95" s="75"/>
      <c r="D95" s="75"/>
      <c r="E95" s="35"/>
      <c r="F95" s="238"/>
      <c r="G95" s="336"/>
      <c r="H95" s="94"/>
      <c r="I95" s="122"/>
      <c r="K95" s="36"/>
    </row>
    <row r="96" spans="1:14" s="32" customFormat="1" ht="12.75" x14ac:dyDescent="0.2">
      <c r="A96" s="159" t="s">
        <v>150</v>
      </c>
      <c r="B96" s="74"/>
      <c r="C96" s="75"/>
      <c r="D96" s="75"/>
      <c r="E96" s="35"/>
      <c r="F96" s="546">
        <v>0</v>
      </c>
      <c r="G96" s="94"/>
      <c r="H96" s="37"/>
      <c r="I96" s="120">
        <f>ROUND(I94*F96,2)</f>
        <v>0</v>
      </c>
      <c r="K96" s="36"/>
    </row>
    <row r="97" spans="1:11" s="32" customFormat="1" ht="3" customHeight="1" x14ac:dyDescent="0.2">
      <c r="A97" s="69"/>
      <c r="B97" s="70"/>
      <c r="C97" s="71"/>
      <c r="D97" s="71"/>
      <c r="E97" s="77"/>
      <c r="F97" s="240"/>
      <c r="G97" s="249"/>
      <c r="H97" s="95"/>
      <c r="I97" s="121"/>
      <c r="K97" s="36"/>
    </row>
    <row r="98" spans="1:11" s="32" customFormat="1" ht="3" customHeight="1" x14ac:dyDescent="0.2">
      <c r="B98" s="33"/>
      <c r="C98" s="34"/>
      <c r="D98" s="34"/>
      <c r="E98" s="79"/>
      <c r="F98" s="241"/>
      <c r="G98" s="335"/>
      <c r="H98" s="96"/>
      <c r="I98" s="119"/>
      <c r="K98" s="36"/>
    </row>
    <row r="99" spans="1:11" s="32" customFormat="1" ht="12.75" x14ac:dyDescent="0.2">
      <c r="A99" s="532" t="s">
        <v>179</v>
      </c>
      <c r="B99" s="533"/>
      <c r="C99" s="534"/>
      <c r="D99" s="534"/>
      <c r="E99" s="363"/>
      <c r="F99" s="362"/>
      <c r="G99" s="362"/>
      <c r="H99" s="360"/>
      <c r="I99" s="536">
        <f>I94+I96</f>
        <v>57019.039999999994</v>
      </c>
      <c r="K99" s="36"/>
    </row>
    <row r="100" spans="1:11" s="32" customFormat="1" ht="4.5" customHeight="1" x14ac:dyDescent="0.2">
      <c r="A100" s="73"/>
      <c r="B100" s="74"/>
      <c r="C100" s="75"/>
      <c r="D100" s="75"/>
      <c r="E100" s="35"/>
      <c r="F100" s="238"/>
      <c r="G100" s="336"/>
      <c r="H100" s="94"/>
      <c r="I100" s="122"/>
      <c r="K100" s="36"/>
    </row>
    <row r="101" spans="1:11" s="32" customFormat="1" ht="12.75" x14ac:dyDescent="0.2">
      <c r="A101" s="32" t="s">
        <v>14</v>
      </c>
      <c r="B101" s="33"/>
      <c r="D101" s="34"/>
      <c r="E101" s="72"/>
      <c r="F101" s="38">
        <v>0.2</v>
      </c>
      <c r="G101" s="38"/>
      <c r="H101" s="38"/>
      <c r="I101" s="123">
        <f>ROUND(I94*F101,2)</f>
        <v>11403.81</v>
      </c>
      <c r="K101" s="36"/>
    </row>
    <row r="102" spans="1:11" s="32" customFormat="1" ht="3" customHeight="1" x14ac:dyDescent="0.2">
      <c r="A102" s="37"/>
      <c r="B102" s="231"/>
      <c r="C102" s="78"/>
      <c r="D102" s="78"/>
      <c r="E102" s="72"/>
      <c r="F102" s="67"/>
      <c r="G102" s="93"/>
      <c r="H102" s="93"/>
      <c r="I102" s="124"/>
      <c r="K102" s="36"/>
    </row>
    <row r="103" spans="1:11" s="37" customFormat="1" ht="12.75" x14ac:dyDescent="0.2">
      <c r="A103" s="540" t="s">
        <v>180</v>
      </c>
      <c r="B103" s="545"/>
      <c r="C103" s="541"/>
      <c r="D103" s="541"/>
      <c r="E103" s="542"/>
      <c r="F103" s="543"/>
      <c r="G103" s="543"/>
      <c r="H103" s="543"/>
      <c r="I103" s="544">
        <f>SUM(I99:I101)</f>
        <v>68422.849999999991</v>
      </c>
      <c r="K103" s="36"/>
    </row>
    <row r="104" spans="1:11" ht="5.0999999999999996" customHeight="1" x14ac:dyDescent="0.2">
      <c r="F104" s="8"/>
      <c r="G104" s="42"/>
    </row>
  </sheetData>
  <mergeCells count="19">
    <mergeCell ref="E2:I2"/>
    <mergeCell ref="A24:B24"/>
    <mergeCell ref="A26:B26"/>
    <mergeCell ref="A28:B28"/>
    <mergeCell ref="A14:B14"/>
    <mergeCell ref="A15:B15"/>
    <mergeCell ref="A16:B16"/>
    <mergeCell ref="A17:B17"/>
    <mergeCell ref="A18:B18"/>
    <mergeCell ref="A22:B22"/>
    <mergeCell ref="G86:H86"/>
    <mergeCell ref="A7:B7"/>
    <mergeCell ref="A9:B9"/>
    <mergeCell ref="A11:B11"/>
    <mergeCell ref="A12:B12"/>
    <mergeCell ref="A13:B13"/>
    <mergeCell ref="A20:B20"/>
    <mergeCell ref="A30:B30"/>
    <mergeCell ref="A32:B32"/>
  </mergeCells>
  <conditionalFormatting sqref="F63">
    <cfRule type="expression" dxfId="5" priority="2" stopIfTrue="1">
      <formula>$F$60&gt;1999999.99</formula>
    </cfRule>
  </conditionalFormatting>
  <conditionalFormatting sqref="F64">
    <cfRule type="expression" dxfId="4" priority="1" stopIfTrue="1">
      <formula>$F$60&lt;2000000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&amp;L&amp;"Arial,Fett"&amp;10&amp;K00-044Vergabemodelle&amp;R&amp;"Arial,Fett"&amp;10&amp;K00-045Vertrag Generalplanung - Anhang 3</oddHeader>
    <oddFooter>&amp;L&amp;"Arial,Standard"&amp;9&amp;K01+010Seite &amp;P von &amp;N                              Juni 2018&amp;R&amp;"Arial,Fett"&amp;9&amp;K01+010Leitfaden Vergabe technische Beratung &amp; Planung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0">
    <tabColor theme="0" tint="-0.34998626667073579"/>
  </sheetPr>
  <dimension ref="A1:R104"/>
  <sheetViews>
    <sheetView showGridLines="0" tabSelected="1" view="pageLayout" zoomScale="70" zoomScaleNormal="85" zoomScaleSheetLayoutView="85" zoomScalePageLayoutView="7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.7109375" style="59" customWidth="1"/>
    <col min="12" max="16384" width="11.5703125" style="1"/>
  </cols>
  <sheetData>
    <row r="1" spans="1:11" ht="5.0999999999999996" customHeight="1" x14ac:dyDescent="0.2"/>
    <row r="2" spans="1:11" s="54" customFormat="1" ht="35.1" customHeight="1" x14ac:dyDescent="0.2">
      <c r="A2" s="137"/>
      <c r="C2" s="13"/>
      <c r="D2" s="103"/>
      <c r="F2" s="820" t="s">
        <v>343</v>
      </c>
      <c r="G2" s="820"/>
      <c r="H2" s="820"/>
      <c r="I2" s="820"/>
      <c r="J2" s="590"/>
      <c r="K2" s="62"/>
    </row>
    <row r="3" spans="1:11" s="11" customFormat="1" ht="12.95" customHeight="1" x14ac:dyDescent="0.25">
      <c r="A3" s="574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K5" s="45"/>
    </row>
    <row r="6" spans="1:11" s="11" customFormat="1" ht="6" customHeight="1" x14ac:dyDescent="0.25">
      <c r="F6" s="98"/>
      <c r="I6" s="2"/>
      <c r="K6" s="2"/>
    </row>
    <row r="7" spans="1:11" s="12" customFormat="1" ht="12.95" customHeight="1" x14ac:dyDescent="0.2">
      <c r="A7" s="821">
        <v>1</v>
      </c>
      <c r="B7" s="821"/>
      <c r="C7" s="106"/>
      <c r="D7" s="107" t="s">
        <v>0</v>
      </c>
      <c r="E7" s="686">
        <f>F7/F34</f>
        <v>2.1739888766278866E-3</v>
      </c>
      <c r="F7" s="389">
        <f>Projektkennwerte!M8</f>
        <v>70000</v>
      </c>
      <c r="G7" s="104"/>
      <c r="H7" s="135">
        <v>0</v>
      </c>
      <c r="I7" s="38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G8" s="1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686">
        <f>F9/F34</f>
        <v>0.27951285556644256</v>
      </c>
      <c r="F9" s="389">
        <f>Projektkennwerte!M10</f>
        <v>9000000</v>
      </c>
      <c r="G9" s="104"/>
      <c r="H9" s="135">
        <v>0</v>
      </c>
      <c r="I9" s="389">
        <f>F9*H9</f>
        <v>0</v>
      </c>
      <c r="K9" s="50"/>
    </row>
    <row r="10" spans="1:11" ht="2.25" customHeight="1" x14ac:dyDescent="0.2">
      <c r="B10" s="4"/>
      <c r="C10" s="6"/>
      <c r="D10" s="1"/>
      <c r="E10" s="161"/>
      <c r="F10" s="174"/>
      <c r="G10" s="1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686">
        <f>F11/F34</f>
        <v>0.25156157000979829</v>
      </c>
      <c r="F11" s="389">
        <f>Projektkennwerte!M12</f>
        <v>8100000</v>
      </c>
      <c r="G11" s="104"/>
      <c r="H11" s="633"/>
      <c r="I11" s="158"/>
      <c r="K11" s="50"/>
    </row>
    <row r="12" spans="1:11" ht="12.95" customHeight="1" x14ac:dyDescent="0.2">
      <c r="A12" s="840">
        <v>3</v>
      </c>
      <c r="B12" s="840"/>
      <c r="C12" s="109" t="s">
        <v>17</v>
      </c>
      <c r="D12" s="110" t="s">
        <v>18</v>
      </c>
      <c r="E12" s="162"/>
      <c r="F12" s="176">
        <f>_3Sanitär</f>
        <v>900000</v>
      </c>
      <c r="G12" s="104"/>
      <c r="H12" s="136">
        <v>0</v>
      </c>
      <c r="I12" s="180">
        <f t="shared" ref="I12:I20" si="0">F12*H12</f>
        <v>0</v>
      </c>
      <c r="K12" s="50"/>
    </row>
    <row r="13" spans="1:11" ht="12.95" customHeight="1" x14ac:dyDescent="0.2">
      <c r="A13" s="842">
        <v>3</v>
      </c>
      <c r="B13" s="842"/>
      <c r="C13" s="111" t="s">
        <v>19</v>
      </c>
      <c r="D13" s="112" t="s">
        <v>26</v>
      </c>
      <c r="E13" s="163"/>
      <c r="F13" s="177">
        <f>_3Heizung</f>
        <v>1000000</v>
      </c>
      <c r="G13" s="104"/>
      <c r="H13" s="136">
        <v>0</v>
      </c>
      <c r="I13" s="235">
        <f t="shared" si="0"/>
        <v>0</v>
      </c>
      <c r="K13" s="50"/>
    </row>
    <row r="14" spans="1:11" ht="12.95" customHeight="1" x14ac:dyDescent="0.2">
      <c r="A14" s="842">
        <v>3</v>
      </c>
      <c r="B14" s="842"/>
      <c r="C14" s="111" t="s">
        <v>20</v>
      </c>
      <c r="D14" s="112" t="s">
        <v>27</v>
      </c>
      <c r="E14" s="163"/>
      <c r="F14" s="178">
        <f>_3Lüftung</f>
        <v>1000000</v>
      </c>
      <c r="G14" s="104"/>
      <c r="H14" s="136">
        <v>0</v>
      </c>
      <c r="I14" s="235">
        <f t="shared" si="0"/>
        <v>0</v>
      </c>
      <c r="K14" s="50"/>
    </row>
    <row r="15" spans="1:11" ht="12.95" customHeight="1" x14ac:dyDescent="0.2">
      <c r="A15" s="842">
        <v>3</v>
      </c>
      <c r="B15" s="842"/>
      <c r="C15" s="111" t="s">
        <v>21</v>
      </c>
      <c r="D15" s="112" t="s">
        <v>28</v>
      </c>
      <c r="E15" s="163"/>
      <c r="F15" s="178">
        <f>_3Elektro</f>
        <v>1500000</v>
      </c>
      <c r="G15" s="104"/>
      <c r="H15" s="136">
        <v>0</v>
      </c>
      <c r="I15" s="235">
        <f t="shared" si="0"/>
        <v>0</v>
      </c>
      <c r="K15" s="50"/>
    </row>
    <row r="16" spans="1:11" ht="12.95" customHeight="1" x14ac:dyDescent="0.2">
      <c r="A16" s="842">
        <v>3</v>
      </c>
      <c r="B16" s="842"/>
      <c r="C16" s="111" t="s">
        <v>22</v>
      </c>
      <c r="D16" s="112" t="s">
        <v>31</v>
      </c>
      <c r="E16" s="163"/>
      <c r="F16" s="178">
        <f>_3IT</f>
        <v>600000</v>
      </c>
      <c r="G16" s="104"/>
      <c r="H16" s="136">
        <v>0</v>
      </c>
      <c r="I16" s="235">
        <f t="shared" si="0"/>
        <v>0</v>
      </c>
      <c r="K16" s="50"/>
    </row>
    <row r="17" spans="1:11" ht="12.95" customHeight="1" x14ac:dyDescent="0.2">
      <c r="A17" s="842">
        <v>3</v>
      </c>
      <c r="B17" s="842"/>
      <c r="C17" s="111" t="s">
        <v>23</v>
      </c>
      <c r="D17" s="112" t="s">
        <v>29</v>
      </c>
      <c r="E17" s="163"/>
      <c r="F17" s="178">
        <f>_3Föte</f>
        <v>1500000</v>
      </c>
      <c r="G17" s="104"/>
      <c r="H17" s="136">
        <v>0</v>
      </c>
      <c r="I17" s="235">
        <f t="shared" si="0"/>
        <v>0</v>
      </c>
      <c r="K17" s="50"/>
    </row>
    <row r="18" spans="1:11" ht="12.95" customHeight="1" x14ac:dyDescent="0.2">
      <c r="A18" s="842">
        <v>3</v>
      </c>
      <c r="B18" s="842"/>
      <c r="C18" s="111" t="s">
        <v>24</v>
      </c>
      <c r="D18" s="112" t="s">
        <v>30</v>
      </c>
      <c r="E18" s="163"/>
      <c r="F18" s="178">
        <f>_3Nutzer</f>
        <v>300000</v>
      </c>
      <c r="G18" s="104"/>
      <c r="H18" s="136">
        <v>0</v>
      </c>
      <c r="I18" s="235">
        <f t="shared" si="0"/>
        <v>0</v>
      </c>
      <c r="K18" s="50"/>
    </row>
    <row r="19" spans="1:11" ht="12.95" customHeight="1" x14ac:dyDescent="0.2">
      <c r="A19" s="687">
        <v>3</v>
      </c>
      <c r="B19" s="687"/>
      <c r="C19" s="111" t="s">
        <v>317</v>
      </c>
      <c r="D19" s="112" t="s">
        <v>316</v>
      </c>
      <c r="E19" s="163"/>
      <c r="F19" s="178">
        <f>Projektkennwerte!M49</f>
        <v>1000000</v>
      </c>
      <c r="G19" s="104"/>
      <c r="H19" s="136">
        <v>1</v>
      </c>
      <c r="I19" s="689">
        <f t="shared" si="0"/>
        <v>1000000</v>
      </c>
      <c r="K19" s="50"/>
    </row>
    <row r="20" spans="1:11" ht="12.95" customHeight="1" x14ac:dyDescent="0.2">
      <c r="A20" s="842">
        <v>3</v>
      </c>
      <c r="B20" s="842"/>
      <c r="C20" s="111" t="s">
        <v>25</v>
      </c>
      <c r="D20" s="112" t="s">
        <v>8</v>
      </c>
      <c r="E20" s="163"/>
      <c r="F20" s="178">
        <f>_3GA</f>
        <v>300000</v>
      </c>
      <c r="G20" s="104"/>
      <c r="H20" s="136">
        <v>0</v>
      </c>
      <c r="I20" s="236">
        <f t="shared" si="0"/>
        <v>0</v>
      </c>
      <c r="K20" s="50"/>
    </row>
    <row r="21" spans="1:11" ht="2.25" customHeight="1" x14ac:dyDescent="0.2">
      <c r="B21" s="4"/>
      <c r="C21" s="6"/>
      <c r="D21" s="1"/>
      <c r="E21" s="161"/>
      <c r="F21" s="174"/>
      <c r="G21" s="1"/>
      <c r="H21" s="631"/>
      <c r="I21" s="174"/>
      <c r="K21" s="63"/>
    </row>
    <row r="22" spans="1:11" s="11" customFormat="1" ht="12.75" customHeight="1" x14ac:dyDescent="0.2">
      <c r="A22" s="821">
        <v>4</v>
      </c>
      <c r="B22" s="821"/>
      <c r="C22" s="106"/>
      <c r="D22" s="107" t="s">
        <v>2</v>
      </c>
      <c r="E22" s="686">
        <f>F22/F34</f>
        <v>0.20187039568687518</v>
      </c>
      <c r="F22" s="389">
        <f>Projektkennwerte!M14</f>
        <v>6500000</v>
      </c>
      <c r="G22" s="104"/>
      <c r="H22" s="135">
        <v>0</v>
      </c>
      <c r="I22" s="389">
        <f>F22*H22</f>
        <v>0</v>
      </c>
      <c r="K22" s="50"/>
    </row>
    <row r="23" spans="1:11" ht="2.25" customHeight="1" x14ac:dyDescent="0.2">
      <c r="B23" s="4"/>
      <c r="C23" s="6"/>
      <c r="D23" s="1"/>
      <c r="E23" s="161"/>
      <c r="F23" s="174"/>
      <c r="G23" s="1"/>
      <c r="H23" s="631"/>
      <c r="I23" s="174"/>
      <c r="K23" s="63"/>
    </row>
    <row r="24" spans="1:11" s="12" customFormat="1" ht="12.95" customHeight="1" x14ac:dyDescent="0.2">
      <c r="A24" s="821">
        <v>5</v>
      </c>
      <c r="B24" s="821"/>
      <c r="C24" s="106"/>
      <c r="D24" s="107" t="s">
        <v>9</v>
      </c>
      <c r="E24" s="686">
        <f>F24/F34</f>
        <v>5.1244023520514471E-2</v>
      </c>
      <c r="F24" s="389">
        <f>Projektkennwerte!M16</f>
        <v>1650000</v>
      </c>
      <c r="G24" s="104"/>
      <c r="H24" s="135"/>
      <c r="I24" s="389"/>
      <c r="K24" s="50"/>
    </row>
    <row r="25" spans="1:11" ht="2.25" customHeight="1" x14ac:dyDescent="0.2">
      <c r="B25" s="4"/>
      <c r="C25" s="6"/>
      <c r="D25" s="1"/>
      <c r="E25" s="161"/>
      <c r="F25" s="174"/>
      <c r="G25" s="1"/>
      <c r="H25" s="631"/>
      <c r="I25" s="174"/>
      <c r="K25" s="63"/>
    </row>
    <row r="26" spans="1:11" s="11" customFormat="1" ht="12.95" customHeight="1" x14ac:dyDescent="0.2">
      <c r="A26" s="821">
        <v>6</v>
      </c>
      <c r="B26" s="821"/>
      <c r="C26" s="106"/>
      <c r="D26" s="107" t="s">
        <v>3</v>
      </c>
      <c r="E26" s="686">
        <f>F26/F34</f>
        <v>1.5528491975913475E-2</v>
      </c>
      <c r="F26" s="389">
        <f>Projektkennwerte!M18</f>
        <v>500000</v>
      </c>
      <c r="G26" s="104"/>
      <c r="H26" s="135">
        <v>0</v>
      </c>
      <c r="I26" s="389">
        <f>F26*H26</f>
        <v>0</v>
      </c>
      <c r="K26" s="50"/>
    </row>
    <row r="27" spans="1:11" ht="2.25" customHeight="1" x14ac:dyDescent="0.2">
      <c r="B27" s="4"/>
      <c r="C27" s="6"/>
      <c r="D27" s="1"/>
      <c r="E27" s="161"/>
      <c r="F27" s="174"/>
      <c r="G27" s="1"/>
      <c r="H27" s="631"/>
      <c r="I27" s="174"/>
      <c r="K27" s="63"/>
    </row>
    <row r="28" spans="1:11" s="12" customFormat="1" ht="12.95" customHeight="1" x14ac:dyDescent="0.2">
      <c r="A28" s="821">
        <v>7</v>
      </c>
      <c r="B28" s="821"/>
      <c r="C28" s="106"/>
      <c r="D28" s="107" t="s">
        <v>110</v>
      </c>
      <c r="E28" s="686">
        <f>F28/F34</f>
        <v>0.14729944861863917</v>
      </c>
      <c r="F28" s="389">
        <f>Projektkennwerte!M20</f>
        <v>4742876.7985686567</v>
      </c>
      <c r="G28" s="104"/>
      <c r="H28" s="135">
        <v>0</v>
      </c>
      <c r="I28" s="389">
        <f>F28*H28</f>
        <v>0</v>
      </c>
      <c r="K28" s="50"/>
    </row>
    <row r="29" spans="1:11" ht="2.25" customHeight="1" x14ac:dyDescent="0.2">
      <c r="B29" s="4"/>
      <c r="C29" s="6"/>
      <c r="D29" s="1"/>
      <c r="E29" s="161"/>
      <c r="F29" s="174"/>
      <c r="G29" s="1"/>
      <c r="H29" s="631"/>
      <c r="I29" s="174"/>
      <c r="K29" s="63"/>
    </row>
    <row r="30" spans="1:11" s="12" customFormat="1" ht="12.95" customHeight="1" x14ac:dyDescent="0.2">
      <c r="A30" s="821">
        <v>8</v>
      </c>
      <c r="B30" s="821"/>
      <c r="C30" s="106"/>
      <c r="D30" s="107" t="s">
        <v>105</v>
      </c>
      <c r="E30" s="686">
        <f>F30/F34</f>
        <v>1.1180514222657702E-3</v>
      </c>
      <c r="F30" s="389">
        <f>Projektkennwerte!M22</f>
        <v>36000</v>
      </c>
      <c r="G30" s="104"/>
      <c r="H30" s="135">
        <v>0</v>
      </c>
      <c r="I30" s="389">
        <f>F30*H30</f>
        <v>0</v>
      </c>
      <c r="K30" s="50"/>
    </row>
    <row r="31" spans="1:11" ht="2.25" customHeight="1" x14ac:dyDescent="0.2">
      <c r="B31" s="4"/>
      <c r="C31" s="6"/>
      <c r="D31" s="1"/>
      <c r="E31" s="161"/>
      <c r="F31" s="174"/>
      <c r="G31" s="1"/>
      <c r="H31" s="631"/>
      <c r="I31" s="174"/>
      <c r="K31" s="63"/>
    </row>
    <row r="32" spans="1:11" s="12" customFormat="1" ht="12.95" customHeight="1" x14ac:dyDescent="0.2">
      <c r="A32" s="821">
        <v>9</v>
      </c>
      <c r="B32" s="821"/>
      <c r="C32" s="106"/>
      <c r="D32" s="107" t="s">
        <v>10</v>
      </c>
      <c r="E32" s="686">
        <f>F32/F34</f>
        <v>4.9691174322923123E-2</v>
      </c>
      <c r="F32" s="389">
        <f>Projektkennwerte!M24</f>
        <v>1600000</v>
      </c>
      <c r="G32" s="104"/>
      <c r="H32" s="135">
        <v>0.01</v>
      </c>
      <c r="I32" s="389">
        <f>F32*H32</f>
        <v>16000</v>
      </c>
      <c r="K32" s="50"/>
    </row>
    <row r="33" spans="1:13" ht="12" customHeight="1" x14ac:dyDescent="0.2">
      <c r="B33" s="17"/>
      <c r="C33" s="5"/>
      <c r="D33" s="1"/>
      <c r="E33" s="47"/>
      <c r="F33" s="1"/>
      <c r="G33" s="1"/>
      <c r="H33" s="138"/>
      <c r="I33" s="1"/>
      <c r="K33" s="1"/>
    </row>
    <row r="34" spans="1:13" ht="12.95" customHeight="1" x14ac:dyDescent="0.25">
      <c r="A34" s="538" t="s">
        <v>12</v>
      </c>
      <c r="B34" s="539"/>
      <c r="C34" s="539"/>
      <c r="D34" s="539"/>
      <c r="E34" s="102">
        <f>SUM(E7:E32)</f>
        <v>0.99999999999999989</v>
      </c>
      <c r="F34" s="454">
        <f>SUM(F7+F9+F11+F22+F24+F26+F28+F30+F32)</f>
        <v>32198876.798568659</v>
      </c>
      <c r="G34" s="92"/>
      <c r="H34" s="216"/>
      <c r="I34" s="30"/>
      <c r="K34" s="30"/>
    </row>
    <row r="35" spans="1:13" ht="4.5" customHeight="1" x14ac:dyDescent="0.2">
      <c r="B35" s="13"/>
      <c r="C35" s="13"/>
      <c r="D35" s="14"/>
      <c r="E35" s="1"/>
      <c r="F35" s="47"/>
      <c r="G35" s="1"/>
      <c r="H35" s="19"/>
      <c r="I35" s="15"/>
      <c r="K35" s="18"/>
    </row>
    <row r="36" spans="1:13" s="92" customFormat="1" ht="12.95" customHeight="1" x14ac:dyDescent="0.3">
      <c r="A36" s="538" t="s">
        <v>32</v>
      </c>
      <c r="B36" s="539"/>
      <c r="C36" s="539"/>
      <c r="D36" s="539"/>
      <c r="E36" s="531"/>
      <c r="F36" s="531"/>
      <c r="G36" s="531"/>
      <c r="H36" s="338"/>
      <c r="I36" s="146">
        <f>SUM(I7:I32)</f>
        <v>1016000</v>
      </c>
      <c r="K36" s="444"/>
    </row>
    <row r="37" spans="1:13" s="92" customFormat="1" ht="12.95" customHeight="1" x14ac:dyDescent="0.3">
      <c r="A37" s="435"/>
      <c r="B37" s="149"/>
      <c r="C37" s="149"/>
      <c r="D37" s="149"/>
      <c r="H37" s="436"/>
      <c r="I37" s="437"/>
      <c r="K37" s="444"/>
    </row>
    <row r="38" spans="1:13" ht="12.75" customHeight="1" x14ac:dyDescent="0.2">
      <c r="A38" s="340" t="s">
        <v>83</v>
      </c>
      <c r="B38" s="341"/>
      <c r="C38" s="341"/>
      <c r="D38" s="341"/>
      <c r="E38" s="341"/>
      <c r="F38" s="341"/>
      <c r="G38" s="341"/>
      <c r="H38" s="341"/>
      <c r="I38" s="359"/>
      <c r="K38" s="18"/>
    </row>
    <row r="39" spans="1:13" ht="4.5" customHeight="1" x14ac:dyDescent="0.2">
      <c r="B39" s="13"/>
      <c r="C39" s="13"/>
      <c r="D39" s="14"/>
      <c r="E39" s="1"/>
      <c r="F39" s="47"/>
      <c r="G39" s="1"/>
      <c r="H39" s="19"/>
      <c r="I39" s="15"/>
      <c r="K39" s="18"/>
    </row>
    <row r="40" spans="1:13" ht="12.75" customHeight="1" x14ac:dyDescent="0.2">
      <c r="A40" s="25"/>
      <c r="B40" s="25"/>
      <c r="C40" s="25"/>
      <c r="D40" s="1"/>
      <c r="E40" s="1"/>
      <c r="F40" s="197" t="s">
        <v>5</v>
      </c>
      <c r="H40" s="198" t="s">
        <v>4</v>
      </c>
      <c r="I40" s="309"/>
      <c r="K40" s="58"/>
    </row>
    <row r="41" spans="1:13" ht="12.75" customHeight="1" x14ac:dyDescent="0.2">
      <c r="B41" s="26" t="s">
        <v>46</v>
      </c>
      <c r="C41" s="60"/>
      <c r="D41" s="51"/>
      <c r="E41" s="51"/>
      <c r="F41" s="151">
        <v>20</v>
      </c>
      <c r="G41" s="199"/>
      <c r="H41" s="199" t="s">
        <v>58</v>
      </c>
      <c r="I41" s="309"/>
      <c r="K41" s="58"/>
    </row>
    <row r="42" spans="1:13" ht="12.75" customHeight="1" x14ac:dyDescent="0.2">
      <c r="B42" s="27" t="s">
        <v>47</v>
      </c>
      <c r="C42" s="61"/>
      <c r="D42" s="52"/>
      <c r="E42" s="52"/>
      <c r="F42" s="151">
        <v>2</v>
      </c>
      <c r="G42" s="199"/>
      <c r="H42" s="200" t="s">
        <v>6</v>
      </c>
      <c r="I42" s="309"/>
      <c r="K42" s="58"/>
    </row>
    <row r="43" spans="1:13" ht="12.75" customHeight="1" x14ac:dyDescent="0.2">
      <c r="B43" s="27" t="s">
        <v>48</v>
      </c>
      <c r="C43" s="61"/>
      <c r="D43" s="52"/>
      <c r="E43" s="52"/>
      <c r="F43" s="151">
        <v>1</v>
      </c>
      <c r="G43" s="199"/>
      <c r="H43" s="200" t="s">
        <v>6</v>
      </c>
      <c r="I43" s="309"/>
      <c r="K43" s="58"/>
    </row>
    <row r="44" spans="1:13" ht="12.75" customHeight="1" x14ac:dyDescent="0.2">
      <c r="B44" s="27" t="s">
        <v>49</v>
      </c>
      <c r="C44" s="52"/>
      <c r="D44" s="52"/>
      <c r="E44" s="52"/>
      <c r="F44" s="151">
        <v>2</v>
      </c>
      <c r="G44" s="199"/>
      <c r="H44" s="200" t="s">
        <v>6</v>
      </c>
      <c r="I44" s="309"/>
      <c r="K44" s="58"/>
    </row>
    <row r="45" spans="1:13" ht="4.5" customHeight="1" x14ac:dyDescent="0.2">
      <c r="A45" s="40"/>
      <c r="B45" s="40"/>
      <c r="C45" s="40"/>
      <c r="D45" s="1"/>
      <c r="E45" s="1"/>
      <c r="F45" s="201"/>
      <c r="G45" s="199"/>
      <c r="H45" s="201"/>
      <c r="I45" s="309"/>
      <c r="K45" s="58"/>
    </row>
    <row r="46" spans="1:13" ht="12.75" customHeight="1" x14ac:dyDescent="0.25">
      <c r="B46" s="27" t="s">
        <v>141</v>
      </c>
      <c r="C46" s="61"/>
      <c r="D46" s="52"/>
      <c r="E46" s="52"/>
      <c r="F46" s="563"/>
      <c r="G46" s="329"/>
      <c r="H46" s="200" t="s">
        <v>57</v>
      </c>
      <c r="I46" s="309"/>
      <c r="J46" s="58"/>
      <c r="K46" s="554"/>
      <c r="L46" s="554"/>
      <c r="M46" s="554"/>
    </row>
    <row r="47" spans="1:13" ht="12.75" customHeight="1" x14ac:dyDescent="0.25">
      <c r="B47" s="27" t="s">
        <v>185</v>
      </c>
      <c r="C47" s="61"/>
      <c r="D47" s="52"/>
      <c r="E47" s="52"/>
      <c r="F47" s="563"/>
      <c r="G47" s="329"/>
      <c r="H47" s="200" t="s">
        <v>57</v>
      </c>
      <c r="I47" s="309"/>
      <c r="J47" s="58"/>
      <c r="K47" s="554"/>
      <c r="L47" s="554"/>
      <c r="M47" s="554"/>
    </row>
    <row r="48" spans="1:13" ht="12.75" customHeight="1" x14ac:dyDescent="0.25">
      <c r="B48" s="27" t="s">
        <v>143</v>
      </c>
      <c r="C48" s="61"/>
      <c r="D48" s="52"/>
      <c r="E48" s="52"/>
      <c r="F48" s="563"/>
      <c r="G48" s="329"/>
      <c r="H48" s="200" t="s">
        <v>57</v>
      </c>
      <c r="I48" s="309"/>
      <c r="J48" s="58"/>
      <c r="K48" s="554"/>
      <c r="L48" s="554"/>
      <c r="M48" s="554"/>
    </row>
    <row r="49" spans="1:16" ht="12.75" customHeight="1" x14ac:dyDescent="0.25">
      <c r="B49" s="27" t="s">
        <v>144</v>
      </c>
      <c r="C49" s="61"/>
      <c r="D49" s="52"/>
      <c r="E49" s="52"/>
      <c r="F49" s="563"/>
      <c r="G49" s="329"/>
      <c r="H49" s="200" t="s">
        <v>57</v>
      </c>
      <c r="I49" s="309"/>
      <c r="J49" s="58"/>
      <c r="K49" s="554"/>
      <c r="L49" s="554"/>
      <c r="M49" s="554"/>
    </row>
    <row r="50" spans="1:16" ht="12.75" customHeight="1" x14ac:dyDescent="0.25">
      <c r="B50" s="27" t="s">
        <v>181</v>
      </c>
      <c r="C50" s="61"/>
      <c r="D50" s="52"/>
      <c r="E50" s="52"/>
      <c r="F50" s="563"/>
      <c r="G50" s="329"/>
      <c r="H50" s="200" t="s">
        <v>163</v>
      </c>
      <c r="I50" s="309"/>
      <c r="J50" s="58"/>
      <c r="K50" s="554"/>
      <c r="L50" s="554"/>
      <c r="M50" s="554"/>
    </row>
    <row r="51" spans="1:16" ht="12.75" customHeight="1" x14ac:dyDescent="0.25">
      <c r="B51" s="27" t="s">
        <v>183</v>
      </c>
      <c r="C51" s="61"/>
      <c r="D51" s="52"/>
      <c r="E51" s="52"/>
      <c r="F51" s="563"/>
      <c r="G51" s="329"/>
      <c r="H51" s="200" t="s">
        <v>160</v>
      </c>
      <c r="I51" s="309"/>
      <c r="J51" s="58"/>
      <c r="K51" s="554"/>
      <c r="L51" s="554"/>
      <c r="M51" s="554"/>
    </row>
    <row r="52" spans="1:16" ht="12.75" customHeight="1" x14ac:dyDescent="0.25">
      <c r="B52" s="27" t="s">
        <v>182</v>
      </c>
      <c r="C52" s="61"/>
      <c r="D52" s="52"/>
      <c r="E52" s="52"/>
      <c r="F52" s="563"/>
      <c r="G52" s="329"/>
      <c r="H52" s="200" t="s">
        <v>6</v>
      </c>
      <c r="I52" s="309"/>
      <c r="J52" s="1"/>
      <c r="K52" s="554"/>
    </row>
    <row r="53" spans="1:16" ht="12.75" customHeight="1" x14ac:dyDescent="0.25">
      <c r="B53" s="27" t="s">
        <v>186</v>
      </c>
      <c r="C53" s="61"/>
      <c r="D53" s="52"/>
      <c r="E53" s="52"/>
      <c r="F53" s="563"/>
      <c r="G53" s="329"/>
      <c r="H53" s="200" t="s">
        <v>57</v>
      </c>
      <c r="I53" s="309"/>
      <c r="J53" s="1"/>
      <c r="K53" s="554"/>
    </row>
    <row r="54" spans="1:16" ht="12.75" customHeight="1" x14ac:dyDescent="0.25">
      <c r="B54" s="27" t="s">
        <v>187</v>
      </c>
      <c r="C54" s="61"/>
      <c r="D54" s="52"/>
      <c r="E54" s="52"/>
      <c r="F54" s="563"/>
      <c r="G54" s="329"/>
      <c r="H54" s="200" t="s">
        <v>57</v>
      </c>
      <c r="I54" s="309"/>
      <c r="J54" s="1"/>
      <c r="K54" s="554"/>
    </row>
    <row r="55" spans="1:16" ht="4.5" customHeight="1" x14ac:dyDescent="0.2">
      <c r="A55" s="40"/>
      <c r="B55" s="40"/>
      <c r="C55" s="1"/>
      <c r="D55" s="203"/>
      <c r="E55" s="203"/>
      <c r="F55" s="203"/>
      <c r="H55" s="203"/>
      <c r="I55" s="309"/>
      <c r="K55" s="1"/>
    </row>
    <row r="56" spans="1:16" ht="12.75" customHeight="1" x14ac:dyDescent="0.2">
      <c r="B56" s="25" t="s">
        <v>45</v>
      </c>
      <c r="C56" s="1"/>
      <c r="D56" s="202"/>
      <c r="E56" s="203"/>
      <c r="F56" s="222">
        <f>SUM(F41:F54)</f>
        <v>25</v>
      </c>
      <c r="H56" s="203"/>
      <c r="I56" s="309"/>
      <c r="K56" s="1"/>
    </row>
    <row r="57" spans="1:16" ht="12.95" customHeight="1" x14ac:dyDescent="0.2">
      <c r="B57" s="40"/>
      <c r="C57" s="1"/>
      <c r="D57" s="203"/>
      <c r="E57" s="203"/>
      <c r="F57" s="203"/>
      <c r="H57" s="203"/>
      <c r="I57" s="309"/>
      <c r="K57" s="1"/>
    </row>
    <row r="58" spans="1:16" ht="12.95" customHeight="1" x14ac:dyDescent="0.2">
      <c r="A58" s="684" t="s">
        <v>171</v>
      </c>
      <c r="B58" s="340"/>
      <c r="C58" s="341"/>
      <c r="D58" s="341"/>
      <c r="E58" s="341"/>
      <c r="F58" s="341"/>
      <c r="G58" s="343"/>
      <c r="H58" s="341"/>
      <c r="I58" s="358"/>
      <c r="K58" s="18"/>
    </row>
    <row r="59" spans="1:16" ht="4.5" customHeight="1" x14ac:dyDescent="0.2">
      <c r="A59" s="205"/>
      <c r="B59" s="205"/>
      <c r="C59" s="205"/>
      <c r="D59" s="205"/>
      <c r="F59" s="8"/>
      <c r="I59" s="1"/>
      <c r="K59" s="18"/>
    </row>
    <row r="60" spans="1:16" ht="14.25" customHeight="1" x14ac:dyDescent="0.2">
      <c r="A60" s="206" t="s">
        <v>11</v>
      </c>
      <c r="B60" s="206"/>
      <c r="C60" s="1"/>
      <c r="F60" s="230">
        <f>I36</f>
        <v>1016000</v>
      </c>
      <c r="I60" s="1"/>
      <c r="K60" s="18"/>
      <c r="P60" s="73"/>
    </row>
    <row r="61" spans="1:16" s="258" customFormat="1" ht="14.25" customHeight="1" x14ac:dyDescent="0.3">
      <c r="A61" s="257" t="s">
        <v>78</v>
      </c>
      <c r="B61" s="257"/>
      <c r="C61" s="257"/>
      <c r="F61" s="260">
        <f>0.03*F56+0.73</f>
        <v>1.48</v>
      </c>
      <c r="H61" s="261"/>
      <c r="I61" s="446"/>
      <c r="K61" s="18"/>
    </row>
    <row r="62" spans="1:16" ht="14.25" customHeight="1" x14ac:dyDescent="0.25">
      <c r="A62" s="28" t="s">
        <v>81</v>
      </c>
      <c r="B62" s="28"/>
      <c r="C62" s="28"/>
      <c r="D62" s="1"/>
      <c r="E62" s="1"/>
      <c r="F62" s="251">
        <f>ROUND(IF(F60&lt;2000000,202*F60^(-0.2248)*F61/100,(37.8*F60^(-0.109)*F61/100)),4)</f>
        <v>0.13339999999999999</v>
      </c>
      <c r="I62" s="550"/>
      <c r="K62" s="18"/>
    </row>
    <row r="63" spans="1:16" s="258" customFormat="1" ht="14.25" customHeight="1" x14ac:dyDescent="0.3">
      <c r="A63" s="257" t="s">
        <v>93</v>
      </c>
      <c r="B63" s="257"/>
      <c r="C63" s="257"/>
      <c r="F63" s="439">
        <f>202*F60^(-0.2248)*F61/100</f>
        <v>0.1334330395828624</v>
      </c>
      <c r="G63" s="259" t="str">
        <f>IF(F60&lt;2000000,"(PL + ÖBA)","")</f>
        <v>(PL + ÖBA)</v>
      </c>
      <c r="H63" s="259"/>
      <c r="I63" s="446"/>
      <c r="K63" s="18"/>
    </row>
    <row r="64" spans="1:16" s="258" customFormat="1" ht="14.25" customHeight="1" x14ac:dyDescent="0.3">
      <c r="A64" s="257" t="s">
        <v>94</v>
      </c>
      <c r="B64" s="257"/>
      <c r="C64" s="257"/>
      <c r="D64" s="257"/>
      <c r="F64" s="439">
        <f>37.8*F60^(-0.109)*F61/100</f>
        <v>0.12388025796977287</v>
      </c>
      <c r="H64" s="259"/>
      <c r="I64" s="446"/>
      <c r="K64" s="18"/>
    </row>
    <row r="65" spans="1:18" ht="14.25" customHeight="1" x14ac:dyDescent="0.3">
      <c r="A65" s="311" t="s">
        <v>79</v>
      </c>
      <c r="B65" s="25"/>
      <c r="C65" s="25"/>
      <c r="D65" s="312"/>
      <c r="E65" s="208"/>
      <c r="F65" s="326">
        <f>ROUND(F60*F62,2)</f>
        <v>135534.39999999999</v>
      </c>
      <c r="G65" s="551" t="s">
        <v>174</v>
      </c>
      <c r="H65" s="209"/>
      <c r="I65" s="1"/>
      <c r="J65" s="15"/>
      <c r="K65" s="18"/>
    </row>
    <row r="66" spans="1:18" ht="15" customHeight="1" x14ac:dyDescent="0.2">
      <c r="A66" s="311"/>
      <c r="B66" s="25"/>
      <c r="C66" s="25"/>
      <c r="D66" s="312"/>
      <c r="E66" s="208"/>
      <c r="F66" s="209"/>
      <c r="G66" s="198"/>
      <c r="H66" s="209"/>
      <c r="I66" s="326"/>
      <c r="J66" s="15"/>
      <c r="K66" s="18"/>
    </row>
    <row r="67" spans="1:18" ht="12.95" customHeight="1" x14ac:dyDescent="0.2">
      <c r="A67" s="684" t="s">
        <v>170</v>
      </c>
      <c r="B67" s="351"/>
      <c r="C67" s="351"/>
      <c r="D67" s="352"/>
      <c r="E67" s="352"/>
      <c r="F67" s="353"/>
      <c r="G67" s="343"/>
      <c r="H67" s="353"/>
      <c r="I67" s="342"/>
      <c r="J67" s="41"/>
      <c r="K67" s="18"/>
    </row>
    <row r="68" spans="1:18" ht="6" customHeight="1" x14ac:dyDescent="0.2">
      <c r="B68" s="13"/>
      <c r="C68" s="13"/>
      <c r="D68" s="14"/>
      <c r="E68" s="1"/>
      <c r="F68" s="47"/>
      <c r="G68" s="14"/>
      <c r="H68" s="19"/>
      <c r="J68" s="18"/>
    </row>
    <row r="69" spans="1:18" ht="12.75" customHeight="1" x14ac:dyDescent="0.25">
      <c r="A69" s="210" t="s">
        <v>53</v>
      </c>
      <c r="B69" s="210"/>
      <c r="C69" s="420"/>
      <c r="D69" s="1"/>
      <c r="E69" s="287">
        <v>0.02</v>
      </c>
      <c r="F69" s="243">
        <v>0.02</v>
      </c>
      <c r="H69" s="212">
        <v>1</v>
      </c>
      <c r="I69" s="621">
        <f>IF($F$60=0,"-",$F$65*F69)</f>
        <v>2710.6880000000001</v>
      </c>
      <c r="J69" s="514"/>
      <c r="R69" s="73"/>
    </row>
    <row r="70" spans="1:18" ht="12.75" customHeight="1" x14ac:dyDescent="0.25">
      <c r="A70" s="210" t="s">
        <v>36</v>
      </c>
      <c r="B70" s="210"/>
      <c r="C70" s="420"/>
      <c r="D70" s="1"/>
      <c r="E70" s="288">
        <v>0.08</v>
      </c>
      <c r="F70" s="429">
        <v>0.08</v>
      </c>
      <c r="H70" s="212">
        <v>2</v>
      </c>
      <c r="I70" s="621">
        <f t="shared" ref="I70:I81" si="1">IF($F$60=0,"-",$F$65*F70)</f>
        <v>10842.752</v>
      </c>
      <c r="J70" s="514"/>
    </row>
    <row r="71" spans="1:18" ht="12.75" customHeight="1" x14ac:dyDescent="0.25">
      <c r="A71" s="210" t="s">
        <v>37</v>
      </c>
      <c r="B71" s="210"/>
      <c r="C71" s="420"/>
      <c r="D71" s="1"/>
      <c r="E71" s="288">
        <v>0.12</v>
      </c>
      <c r="F71" s="429">
        <v>0.12</v>
      </c>
      <c r="H71" s="212">
        <v>3</v>
      </c>
      <c r="I71" s="621">
        <f t="shared" si="1"/>
        <v>16264.127999999999</v>
      </c>
      <c r="J71" s="514"/>
    </row>
    <row r="72" spans="1:18" ht="12.75" customHeight="1" x14ac:dyDescent="0.25">
      <c r="A72" s="210" t="s">
        <v>38</v>
      </c>
      <c r="B72" s="210"/>
      <c r="C72" s="420"/>
      <c r="D72" s="1"/>
      <c r="E72" s="288">
        <v>0.05</v>
      </c>
      <c r="F72" s="429">
        <v>0.05</v>
      </c>
      <c r="H72" s="212">
        <v>4</v>
      </c>
      <c r="I72" s="621">
        <f t="shared" si="1"/>
        <v>6776.72</v>
      </c>
      <c r="J72" s="514"/>
      <c r="L72" s="1" t="s">
        <v>95</v>
      </c>
    </row>
    <row r="73" spans="1:18" ht="12.75" customHeight="1" x14ac:dyDescent="0.25">
      <c r="A73" s="210" t="s">
        <v>39</v>
      </c>
      <c r="B73" s="210"/>
      <c r="C73" s="420"/>
      <c r="D73" s="1"/>
      <c r="E73" s="288">
        <v>0.22</v>
      </c>
      <c r="F73" s="429">
        <v>0.22</v>
      </c>
      <c r="H73" s="212">
        <v>5</v>
      </c>
      <c r="I73" s="621">
        <f t="shared" si="1"/>
        <v>29817.567999999999</v>
      </c>
      <c r="J73" s="514"/>
    </row>
    <row r="74" spans="1:18" ht="12.75" customHeight="1" x14ac:dyDescent="0.25">
      <c r="A74" s="210" t="s">
        <v>40</v>
      </c>
      <c r="B74" s="210"/>
      <c r="C74" s="420"/>
      <c r="D74" s="1"/>
      <c r="E74" s="288">
        <v>7.0000000000000007E-2</v>
      </c>
      <c r="F74" s="429">
        <v>7.0000000000000007E-2</v>
      </c>
      <c r="H74" s="212">
        <v>6</v>
      </c>
      <c r="I74" s="621">
        <f t="shared" si="1"/>
        <v>9487.4080000000013</v>
      </c>
      <c r="J74" s="514"/>
    </row>
    <row r="75" spans="1:18" ht="12.75" customHeight="1" x14ac:dyDescent="0.25">
      <c r="A75" s="210" t="s">
        <v>61</v>
      </c>
      <c r="B75" s="210"/>
      <c r="C75" s="420"/>
      <c r="D75" s="1"/>
      <c r="E75" s="288">
        <v>0.03</v>
      </c>
      <c r="F75" s="429">
        <v>0.03</v>
      </c>
      <c r="H75" s="212"/>
      <c r="I75" s="621">
        <f t="shared" si="1"/>
        <v>4066.0319999999997</v>
      </c>
      <c r="J75" s="514"/>
    </row>
    <row r="76" spans="1:18" ht="12.75" customHeight="1" x14ac:dyDescent="0.25">
      <c r="A76" s="210" t="s">
        <v>54</v>
      </c>
      <c r="B76" s="210"/>
      <c r="C76" s="420"/>
      <c r="D76" s="1"/>
      <c r="E76" s="288">
        <v>0.04</v>
      </c>
      <c r="F76" s="429">
        <v>0.04</v>
      </c>
      <c r="H76" s="212">
        <v>7</v>
      </c>
      <c r="I76" s="621">
        <f t="shared" si="1"/>
        <v>5421.3760000000002</v>
      </c>
      <c r="J76" s="514"/>
    </row>
    <row r="77" spans="1:18" ht="12.75" customHeight="1" x14ac:dyDescent="0.25">
      <c r="A77" s="193" t="s">
        <v>80</v>
      </c>
      <c r="B77" s="193"/>
      <c r="C77" s="420"/>
      <c r="D77" s="1"/>
      <c r="E77" s="288">
        <v>0.35</v>
      </c>
      <c r="F77" s="429">
        <v>0.35</v>
      </c>
      <c r="H77" s="212">
        <v>8</v>
      </c>
      <c r="I77" s="621">
        <f t="shared" si="1"/>
        <v>47437.039999999994</v>
      </c>
      <c r="J77" s="514"/>
    </row>
    <row r="78" spans="1:18" ht="12.75" customHeight="1" x14ac:dyDescent="0.25">
      <c r="A78" s="294" t="s">
        <v>55</v>
      </c>
      <c r="B78" s="294"/>
      <c r="C78" s="295"/>
      <c r="D78" s="1"/>
      <c r="E78" s="292">
        <v>0.02</v>
      </c>
      <c r="F78" s="430">
        <v>0.02</v>
      </c>
      <c r="H78" s="296">
        <v>9</v>
      </c>
      <c r="I78" s="621">
        <f t="shared" si="1"/>
        <v>2710.6880000000001</v>
      </c>
      <c r="J78" s="514"/>
    </row>
    <row r="79" spans="1:18" s="303" customFormat="1" ht="12.75" customHeight="1" x14ac:dyDescent="0.25">
      <c r="A79" s="580" t="s">
        <v>164</v>
      </c>
      <c r="B79" s="580"/>
      <c r="C79" s="581"/>
      <c r="E79" s="582"/>
      <c r="F79" s="609">
        <v>0</v>
      </c>
      <c r="I79" s="622">
        <f t="shared" si="1"/>
        <v>0</v>
      </c>
      <c r="J79" s="301"/>
      <c r="K79" s="302"/>
      <c r="L79" s="302"/>
      <c r="M79" s="302"/>
    </row>
    <row r="80" spans="1:18" s="303" customFormat="1" ht="12.75" customHeight="1" x14ac:dyDescent="0.25">
      <c r="A80" s="580" t="s">
        <v>164</v>
      </c>
      <c r="B80" s="580"/>
      <c r="C80" s="581"/>
      <c r="E80" s="582"/>
      <c r="F80" s="609">
        <v>0</v>
      </c>
      <c r="I80" s="622">
        <f t="shared" si="1"/>
        <v>0</v>
      </c>
      <c r="J80" s="301"/>
      <c r="K80" s="302"/>
      <c r="L80" s="302"/>
      <c r="M80" s="302"/>
    </row>
    <row r="81" spans="1:14" s="303" customFormat="1" ht="12.75" customHeight="1" x14ac:dyDescent="0.25">
      <c r="A81" s="297" t="s">
        <v>164</v>
      </c>
      <c r="B81" s="297"/>
      <c r="C81" s="298"/>
      <c r="D81" s="299"/>
      <c r="E81" s="300"/>
      <c r="F81" s="610">
        <v>0</v>
      </c>
      <c r="G81" s="299"/>
      <c r="I81" s="622">
        <f t="shared" si="1"/>
        <v>0</v>
      </c>
      <c r="J81" s="301"/>
      <c r="K81" s="302"/>
      <c r="L81" s="302"/>
      <c r="M81" s="302"/>
    </row>
    <row r="82" spans="1:14" s="258" customFormat="1" ht="13.5" customHeight="1" x14ac:dyDescent="0.25">
      <c r="A82" s="213" t="s">
        <v>190</v>
      </c>
      <c r="B82" s="262"/>
      <c r="C82" s="257"/>
      <c r="E82" s="613">
        <f>SUM(E69:E78)</f>
        <v>1</v>
      </c>
      <c r="F82" s="264">
        <f>SUM(F69:F81)</f>
        <v>1</v>
      </c>
      <c r="H82" s="618"/>
      <c r="I82" s="623">
        <f>SUM(I69:I81)</f>
        <v>135534.39999999999</v>
      </c>
      <c r="J82" s="265"/>
      <c r="K82" s="59"/>
    </row>
    <row r="83" spans="1:14" ht="12.75" customHeight="1" x14ac:dyDescent="0.25">
      <c r="F83" s="247"/>
      <c r="J83" s="514"/>
    </row>
    <row r="84" spans="1:14" ht="12.75" customHeight="1" x14ac:dyDescent="0.2">
      <c r="A84" s="684" t="s">
        <v>172</v>
      </c>
      <c r="B84" s="684"/>
      <c r="C84" s="684"/>
      <c r="D84" s="684"/>
      <c r="E84" s="684"/>
      <c r="F84" s="684"/>
      <c r="G84" s="684"/>
      <c r="H84" s="684"/>
      <c r="I84" s="684"/>
      <c r="J84" s="147"/>
      <c r="K84" s="3"/>
      <c r="L84" s="143"/>
      <c r="M84" s="143"/>
    </row>
    <row r="85" spans="1:14" s="32" customFormat="1" ht="4.5" customHeight="1" x14ac:dyDescent="0.2">
      <c r="B85" s="33"/>
      <c r="C85" s="34"/>
      <c r="D85" s="34"/>
      <c r="E85" s="65"/>
      <c r="F85" s="67"/>
      <c r="G85" s="93"/>
      <c r="H85" s="93"/>
      <c r="I85" s="119"/>
      <c r="K85" s="36"/>
    </row>
    <row r="86" spans="1:14" ht="12.75" customHeight="1" x14ac:dyDescent="0.3">
      <c r="A86" s="311" t="s">
        <v>79</v>
      </c>
      <c r="B86" s="554"/>
      <c r="C86" s="554"/>
      <c r="D86" s="554"/>
      <c r="E86" s="316"/>
      <c r="F86" s="575"/>
      <c r="G86" s="828"/>
      <c r="H86" s="829"/>
      <c r="I86" s="599">
        <f>I82</f>
        <v>135534.39999999999</v>
      </c>
      <c r="J86" s="554"/>
      <c r="K86" s="556"/>
      <c r="L86" s="556"/>
      <c r="M86" s="556"/>
    </row>
    <row r="87" spans="1:14" ht="12.75" customHeight="1" x14ac:dyDescent="0.25">
      <c r="A87" s="48" t="s">
        <v>113</v>
      </c>
      <c r="F87" s="571">
        <v>0</v>
      </c>
      <c r="G87" s="685"/>
      <c r="H87" s="685">
        <v>0</v>
      </c>
      <c r="I87" s="599">
        <f>F87*H87</f>
        <v>0</v>
      </c>
      <c r="L87" s="556"/>
      <c r="M87" s="556"/>
      <c r="N87" s="556"/>
    </row>
    <row r="88" spans="1:14" s="32" customFormat="1" ht="4.5" customHeight="1" x14ac:dyDescent="0.2">
      <c r="B88" s="33"/>
      <c r="C88" s="34"/>
      <c r="D88" s="34"/>
      <c r="E88" s="65"/>
      <c r="F88" s="67"/>
      <c r="G88" s="93"/>
      <c r="H88" s="93"/>
      <c r="I88" s="119"/>
      <c r="K88" s="36"/>
    </row>
    <row r="89" spans="1:14" s="32" customFormat="1" ht="12.75" x14ac:dyDescent="0.2">
      <c r="A89" s="557" t="s">
        <v>310</v>
      </c>
      <c r="B89" s="558"/>
      <c r="C89" s="559"/>
      <c r="D89" s="559"/>
      <c r="E89" s="560"/>
      <c r="F89" s="562"/>
      <c r="G89" s="560"/>
      <c r="H89" s="560"/>
      <c r="I89" s="561">
        <f>I86+I87</f>
        <v>135534.39999999999</v>
      </c>
      <c r="K89" s="36"/>
    </row>
    <row r="90" spans="1:14" s="32" customFormat="1" ht="4.5" customHeight="1" x14ac:dyDescent="0.2">
      <c r="B90" s="33"/>
      <c r="C90" s="34"/>
      <c r="D90" s="34"/>
      <c r="E90" s="65"/>
      <c r="F90" s="67"/>
      <c r="G90" s="93"/>
      <c r="H90" s="93"/>
      <c r="I90" s="119"/>
      <c r="K90" s="36"/>
    </row>
    <row r="91" spans="1:14" s="32" customFormat="1" ht="12.75" x14ac:dyDescent="0.2">
      <c r="A91" s="68" t="s">
        <v>13</v>
      </c>
      <c r="B91" s="33"/>
      <c r="C91" s="34"/>
      <c r="D91" s="34"/>
      <c r="E91" s="76"/>
      <c r="F91" s="570">
        <v>0.04</v>
      </c>
      <c r="G91" s="334"/>
      <c r="H91" s="94"/>
      <c r="I91" s="120">
        <f>ROUND(I89*F91,2)</f>
        <v>5421.38</v>
      </c>
      <c r="K91" s="36"/>
    </row>
    <row r="92" spans="1:14" s="32" customFormat="1" ht="3" customHeight="1" x14ac:dyDescent="0.2">
      <c r="A92" s="69"/>
      <c r="B92" s="70"/>
      <c r="C92" s="71"/>
      <c r="D92" s="71"/>
      <c r="E92" s="77"/>
      <c r="F92" s="240"/>
      <c r="G92" s="249"/>
      <c r="H92" s="95"/>
      <c r="I92" s="121"/>
      <c r="K92" s="36"/>
    </row>
    <row r="93" spans="1:14" s="32" customFormat="1" ht="3" customHeight="1" x14ac:dyDescent="0.2">
      <c r="B93" s="33"/>
      <c r="C93" s="34"/>
      <c r="D93" s="34"/>
      <c r="E93" s="79"/>
      <c r="F93" s="241"/>
      <c r="G93" s="335"/>
      <c r="H93" s="96"/>
      <c r="I93" s="119"/>
      <c r="K93" s="36"/>
    </row>
    <row r="94" spans="1:14" s="32" customFormat="1" ht="12.75" x14ac:dyDescent="0.2">
      <c r="A94" s="557" t="s">
        <v>311</v>
      </c>
      <c r="B94" s="558"/>
      <c r="C94" s="559"/>
      <c r="D94" s="559"/>
      <c r="E94" s="363"/>
      <c r="F94" s="362"/>
      <c r="G94" s="362"/>
      <c r="H94" s="360"/>
      <c r="I94" s="561">
        <f>I89+I91</f>
        <v>140955.78</v>
      </c>
      <c r="K94" s="36"/>
    </row>
    <row r="95" spans="1:14" s="32" customFormat="1" ht="4.5" customHeight="1" x14ac:dyDescent="0.2">
      <c r="A95" s="73"/>
      <c r="B95" s="74"/>
      <c r="C95" s="75"/>
      <c r="D95" s="75"/>
      <c r="E95" s="35"/>
      <c r="F95" s="238"/>
      <c r="G95" s="336"/>
      <c r="H95" s="94"/>
      <c r="I95" s="122"/>
      <c r="K95" s="36"/>
    </row>
    <row r="96" spans="1:14" s="32" customFormat="1" ht="12.75" x14ac:dyDescent="0.2">
      <c r="A96" s="159" t="s">
        <v>150</v>
      </c>
      <c r="B96" s="74"/>
      <c r="C96" s="75"/>
      <c r="D96" s="75"/>
      <c r="E96" s="35"/>
      <c r="F96" s="570">
        <v>0</v>
      </c>
      <c r="G96" s="94"/>
      <c r="H96" s="37"/>
      <c r="I96" s="120">
        <f>ROUND(I94*F96,2)</f>
        <v>0</v>
      </c>
      <c r="K96" s="36"/>
    </row>
    <row r="97" spans="1:11" s="32" customFormat="1" ht="3" customHeight="1" x14ac:dyDescent="0.2">
      <c r="A97" s="69"/>
      <c r="B97" s="70"/>
      <c r="C97" s="71"/>
      <c r="D97" s="71"/>
      <c r="E97" s="77"/>
      <c r="F97" s="240"/>
      <c r="G97" s="249"/>
      <c r="H97" s="95"/>
      <c r="I97" s="121"/>
      <c r="K97" s="36"/>
    </row>
    <row r="98" spans="1:11" s="32" customFormat="1" ht="3" customHeight="1" x14ac:dyDescent="0.2">
      <c r="B98" s="33"/>
      <c r="C98" s="34"/>
      <c r="D98" s="34"/>
      <c r="E98" s="79"/>
      <c r="F98" s="241"/>
      <c r="G98" s="335"/>
      <c r="H98" s="96"/>
      <c r="I98" s="119"/>
      <c r="K98" s="36"/>
    </row>
    <row r="99" spans="1:11" s="32" customFormat="1" ht="12.75" x14ac:dyDescent="0.2">
      <c r="A99" s="557" t="s">
        <v>312</v>
      </c>
      <c r="B99" s="558"/>
      <c r="C99" s="559"/>
      <c r="D99" s="559"/>
      <c r="E99" s="363"/>
      <c r="F99" s="362"/>
      <c r="G99" s="362"/>
      <c r="H99" s="360"/>
      <c r="I99" s="561">
        <f>I94+I96</f>
        <v>140955.78</v>
      </c>
      <c r="K99" s="36"/>
    </row>
    <row r="100" spans="1:11" s="32" customFormat="1" ht="4.5" customHeight="1" x14ac:dyDescent="0.2">
      <c r="A100" s="73"/>
      <c r="B100" s="74"/>
      <c r="C100" s="75"/>
      <c r="D100" s="75"/>
      <c r="E100" s="35"/>
      <c r="F100" s="238"/>
      <c r="G100" s="336"/>
      <c r="H100" s="94"/>
      <c r="I100" s="122"/>
      <c r="K100" s="36"/>
    </row>
    <row r="101" spans="1:11" s="32" customFormat="1" ht="12.75" x14ac:dyDescent="0.2">
      <c r="A101" s="32" t="s">
        <v>14</v>
      </c>
      <c r="B101" s="33"/>
      <c r="D101" s="34"/>
      <c r="E101" s="72"/>
      <c r="F101" s="38">
        <v>0.2</v>
      </c>
      <c r="G101" s="38"/>
      <c r="H101" s="38"/>
      <c r="I101" s="123">
        <f>ROUND(I94*F101,2)</f>
        <v>28191.16</v>
      </c>
      <c r="K101" s="36"/>
    </row>
    <row r="102" spans="1:11" s="32" customFormat="1" ht="3" customHeight="1" x14ac:dyDescent="0.2">
      <c r="A102" s="37"/>
      <c r="B102" s="231"/>
      <c r="C102" s="78"/>
      <c r="D102" s="78"/>
      <c r="E102" s="72"/>
      <c r="F102" s="67"/>
      <c r="G102" s="93"/>
      <c r="H102" s="93"/>
      <c r="I102" s="124"/>
      <c r="K102" s="36"/>
    </row>
    <row r="103" spans="1:11" s="37" customFormat="1" ht="12.75" x14ac:dyDescent="0.2">
      <c r="A103" s="564" t="s">
        <v>313</v>
      </c>
      <c r="B103" s="569"/>
      <c r="C103" s="565"/>
      <c r="D103" s="565"/>
      <c r="E103" s="566"/>
      <c r="F103" s="567"/>
      <c r="G103" s="567"/>
      <c r="H103" s="567"/>
      <c r="I103" s="568">
        <f>SUM(I99:I101)</f>
        <v>169146.94</v>
      </c>
      <c r="K103" s="36"/>
    </row>
    <row r="104" spans="1:11" ht="5.0999999999999996" customHeight="1" x14ac:dyDescent="0.2">
      <c r="F104" s="8"/>
      <c r="G104" s="42"/>
    </row>
  </sheetData>
  <mergeCells count="19">
    <mergeCell ref="A18:B18"/>
    <mergeCell ref="A20:B20"/>
    <mergeCell ref="G86:H86"/>
    <mergeCell ref="A22:B22"/>
    <mergeCell ref="A24:B24"/>
    <mergeCell ref="A26:B26"/>
    <mergeCell ref="A28:B28"/>
    <mergeCell ref="A30:B30"/>
    <mergeCell ref="A32:B32"/>
    <mergeCell ref="F2:I2"/>
    <mergeCell ref="A14:B14"/>
    <mergeCell ref="A15:B15"/>
    <mergeCell ref="A16:B16"/>
    <mergeCell ref="A17:B17"/>
    <mergeCell ref="A7:B7"/>
    <mergeCell ref="A9:B9"/>
    <mergeCell ref="A11:B11"/>
    <mergeCell ref="A12:B12"/>
    <mergeCell ref="A13:B13"/>
  </mergeCells>
  <conditionalFormatting sqref="F63">
    <cfRule type="expression" dxfId="3" priority="2" stopIfTrue="1">
      <formula>$F$60&gt;1999999.99</formula>
    </cfRule>
  </conditionalFormatting>
  <conditionalFormatting sqref="F64">
    <cfRule type="expression" dxfId="2" priority="1" stopIfTrue="1">
      <formula>$F$60&lt;2000000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&amp;L&amp;"Arial,Fett"&amp;9&amp;K01+016Leitfaden Vergabe technische Beratung &amp; Planung&amp;R&amp;"Arial,Standard"&amp;9&amp;K01+016 Juni 2018                             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2">
    <tabColor theme="7"/>
  </sheetPr>
  <dimension ref="A1:M95"/>
  <sheetViews>
    <sheetView showGridLines="0" tabSelected="1" view="pageLayout" topLeftCell="A37" zoomScale="85" zoomScaleNormal="85" zoomScaleSheetLayoutView="130" zoomScalePageLayoutView="85" workbookViewId="0">
      <selection activeCell="D49" sqref="D49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8" customWidth="1"/>
    <col min="7" max="7" width="2.7109375" style="42" customWidth="1"/>
    <col min="8" max="8" width="11.28515625" style="9" customWidth="1" collapsed="1"/>
    <col min="9" max="9" width="14.7109375" style="10" customWidth="1"/>
    <col min="10" max="10" width="7.28515625" style="59" customWidth="1"/>
    <col min="11" max="11" width="11.5703125" style="554"/>
    <col min="12" max="16384" width="11.5703125" style="1"/>
  </cols>
  <sheetData>
    <row r="1" spans="1:12" ht="5.0999999999999996" customHeight="1" x14ac:dyDescent="0.25"/>
    <row r="2" spans="1:12" ht="12.95" customHeight="1" x14ac:dyDescent="0.25">
      <c r="I2" s="707" t="s">
        <v>309</v>
      </c>
      <c r="L2" s="554"/>
    </row>
    <row r="3" spans="1:12" s="54" customFormat="1" ht="35.1" customHeight="1" x14ac:dyDescent="0.25">
      <c r="A3" s="688"/>
      <c r="C3" s="13"/>
      <c r="D3" s="103"/>
      <c r="F3" s="820" t="s">
        <v>328</v>
      </c>
      <c r="G3" s="820"/>
      <c r="H3" s="820"/>
      <c r="I3" s="820"/>
      <c r="J3" s="62"/>
      <c r="K3" s="56"/>
    </row>
    <row r="4" spans="1:12" s="143" customFormat="1" ht="12.95" customHeight="1" x14ac:dyDescent="0.25">
      <c r="A4" s="692" t="s">
        <v>106</v>
      </c>
      <c r="B4" s="692"/>
      <c r="C4" s="692"/>
      <c r="D4" s="692"/>
      <c r="E4" s="692"/>
      <c r="F4" s="692"/>
      <c r="G4" s="692"/>
      <c r="H4" s="692"/>
      <c r="I4" s="692"/>
      <c r="J4" s="147"/>
    </row>
    <row r="5" spans="1:12" s="11" customFormat="1" ht="6" customHeight="1" x14ac:dyDescent="0.25">
      <c r="I5" s="2"/>
      <c r="J5" s="2"/>
    </row>
    <row r="6" spans="1:12" s="11" customFormat="1" ht="12.95" customHeight="1" x14ac:dyDescent="0.25">
      <c r="E6" s="100" t="s">
        <v>82</v>
      </c>
      <c r="F6" s="45" t="s">
        <v>50</v>
      </c>
      <c r="G6" s="45"/>
      <c r="H6" s="16" t="s">
        <v>16</v>
      </c>
      <c r="I6" s="117" t="s">
        <v>51</v>
      </c>
      <c r="J6" s="45"/>
    </row>
    <row r="7" spans="1:12" s="11" customFormat="1" ht="6" customHeight="1" x14ac:dyDescent="0.25">
      <c r="F7" s="98"/>
      <c r="I7" s="2"/>
      <c r="J7" s="2"/>
    </row>
    <row r="8" spans="1:12" s="12" customFormat="1" ht="12.95" customHeight="1" x14ac:dyDescent="0.2">
      <c r="A8" s="821">
        <v>1</v>
      </c>
      <c r="B8" s="821"/>
      <c r="C8" s="106"/>
      <c r="D8" s="107" t="s">
        <v>0</v>
      </c>
      <c r="E8" s="693">
        <f>F8/_1_9</f>
        <v>2.1739888766278866E-3</v>
      </c>
      <c r="F8" s="389">
        <f>_1</f>
        <v>70000</v>
      </c>
      <c r="G8" s="104"/>
      <c r="H8" s="694">
        <v>0</v>
      </c>
      <c r="I8" s="389">
        <f>F8*H8</f>
        <v>0</v>
      </c>
      <c r="J8" s="50"/>
    </row>
    <row r="9" spans="1:12" ht="2.25" customHeight="1" x14ac:dyDescent="0.25">
      <c r="B9" s="4"/>
      <c r="C9" s="6"/>
      <c r="D9" s="1"/>
      <c r="E9" s="161"/>
      <c r="F9" s="174"/>
      <c r="G9" s="1"/>
      <c r="H9" s="631"/>
      <c r="I9" s="174"/>
      <c r="J9" s="63"/>
    </row>
    <row r="10" spans="1:12" s="12" customFormat="1" ht="12.75" customHeight="1" x14ac:dyDescent="0.2">
      <c r="A10" s="821">
        <v>2</v>
      </c>
      <c r="B10" s="821"/>
      <c r="C10" s="106"/>
      <c r="D10" s="107" t="s">
        <v>1</v>
      </c>
      <c r="E10" s="693">
        <f>F10/_1_9</f>
        <v>0.27951285556644256</v>
      </c>
      <c r="F10" s="389">
        <f>_2</f>
        <v>9000000</v>
      </c>
      <c r="G10" s="104"/>
      <c r="H10" s="694">
        <v>1</v>
      </c>
      <c r="I10" s="389">
        <f>F10*H10</f>
        <v>9000000</v>
      </c>
      <c r="J10" s="50"/>
    </row>
    <row r="11" spans="1:12" ht="2.25" customHeight="1" x14ac:dyDescent="0.25">
      <c r="B11" s="13"/>
      <c r="C11" s="13"/>
      <c r="D11" s="14"/>
      <c r="E11" s="161"/>
      <c r="F11" s="175"/>
      <c r="G11" s="1"/>
      <c r="H11" s="631"/>
      <c r="I11" s="175"/>
      <c r="J11" s="50"/>
    </row>
    <row r="12" spans="1:12" s="11" customFormat="1" ht="12.95" customHeight="1" x14ac:dyDescent="0.2">
      <c r="A12" s="821">
        <v>3</v>
      </c>
      <c r="B12" s="821"/>
      <c r="C12" s="106"/>
      <c r="D12" s="107" t="s">
        <v>7</v>
      </c>
      <c r="E12" s="693">
        <f>F12/_1_9</f>
        <v>0.25156157000979829</v>
      </c>
      <c r="F12" s="389">
        <f>_3</f>
        <v>8100000</v>
      </c>
      <c r="G12" s="104"/>
      <c r="H12" s="694">
        <v>1</v>
      </c>
      <c r="I12" s="389">
        <f>F12*H12</f>
        <v>8100000</v>
      </c>
      <c r="J12" s="50"/>
    </row>
    <row r="13" spans="1:12" ht="2.25" customHeight="1" x14ac:dyDescent="0.25">
      <c r="B13" s="13"/>
      <c r="C13" s="13"/>
      <c r="D13" s="14"/>
      <c r="E13" s="161"/>
      <c r="F13" s="158"/>
      <c r="G13" s="1"/>
      <c r="H13" s="630"/>
      <c r="I13" s="158"/>
      <c r="J13" s="49"/>
    </row>
    <row r="14" spans="1:12" s="11" customFormat="1" ht="12.75" customHeight="1" x14ac:dyDescent="0.2">
      <c r="A14" s="821">
        <v>4</v>
      </c>
      <c r="B14" s="821"/>
      <c r="C14" s="106"/>
      <c r="D14" s="107" t="s">
        <v>2</v>
      </c>
      <c r="E14" s="693">
        <f>F14/_1_9</f>
        <v>0.20187039568687518</v>
      </c>
      <c r="F14" s="389">
        <f>_4</f>
        <v>6500000</v>
      </c>
      <c r="G14" s="104"/>
      <c r="H14" s="694">
        <v>1</v>
      </c>
      <c r="I14" s="389">
        <f>F14*H14</f>
        <v>6500000</v>
      </c>
      <c r="J14" s="50"/>
    </row>
    <row r="15" spans="1:12" ht="2.25" customHeight="1" x14ac:dyDescent="0.25">
      <c r="B15" s="4"/>
      <c r="C15" s="6"/>
      <c r="D15" s="1"/>
      <c r="E15" s="161"/>
      <c r="F15" s="158"/>
      <c r="G15" s="1"/>
      <c r="H15" s="632"/>
      <c r="I15" s="158"/>
      <c r="J15" s="48"/>
    </row>
    <row r="16" spans="1:12" s="12" customFormat="1" ht="12.95" customHeight="1" x14ac:dyDescent="0.2">
      <c r="A16" s="821">
        <v>5</v>
      </c>
      <c r="B16" s="821"/>
      <c r="C16" s="106"/>
      <c r="D16" s="107" t="s">
        <v>9</v>
      </c>
      <c r="E16" s="693">
        <f>F16/_1_9</f>
        <v>5.1244023520514471E-2</v>
      </c>
      <c r="F16" s="389">
        <f>_5</f>
        <v>1650000</v>
      </c>
      <c r="G16" s="104"/>
      <c r="H16" s="694">
        <v>1</v>
      </c>
      <c r="I16" s="389">
        <f>H16*F16</f>
        <v>1650000</v>
      </c>
      <c r="J16" s="50"/>
    </row>
    <row r="17" spans="1:13" ht="2.25" customHeight="1" x14ac:dyDescent="0.25">
      <c r="B17" s="13"/>
      <c r="C17" s="13"/>
      <c r="D17" s="14"/>
      <c r="E17" s="161"/>
      <c r="F17" s="175"/>
      <c r="G17" s="1"/>
      <c r="H17" s="631"/>
      <c r="I17" s="175"/>
      <c r="J17" s="50"/>
    </row>
    <row r="18" spans="1:13" s="11" customFormat="1" ht="12.75" customHeight="1" x14ac:dyDescent="0.2">
      <c r="A18" s="821">
        <v>6</v>
      </c>
      <c r="B18" s="821"/>
      <c r="C18" s="106"/>
      <c r="D18" s="107" t="s">
        <v>3</v>
      </c>
      <c r="E18" s="693">
        <f>F18/_1_9</f>
        <v>1.5528491975913475E-2</v>
      </c>
      <c r="F18" s="389">
        <f>_6</f>
        <v>500000</v>
      </c>
      <c r="G18" s="104"/>
      <c r="H18" s="694">
        <v>1</v>
      </c>
      <c r="I18" s="389">
        <f>F18*H18</f>
        <v>500000</v>
      </c>
      <c r="J18" s="50"/>
    </row>
    <row r="19" spans="1:13" ht="2.25" customHeight="1" x14ac:dyDescent="0.25">
      <c r="B19" s="17"/>
      <c r="C19" s="5"/>
      <c r="D19" s="1"/>
      <c r="E19" s="164"/>
      <c r="F19" s="158"/>
      <c r="G19" s="1"/>
      <c r="H19" s="632"/>
      <c r="I19" s="158"/>
      <c r="J19" s="50"/>
      <c r="K19" s="555"/>
    </row>
    <row r="20" spans="1:13" s="12" customFormat="1" ht="12.95" customHeight="1" x14ac:dyDescent="0.2">
      <c r="A20" s="821">
        <v>7</v>
      </c>
      <c r="B20" s="821"/>
      <c r="C20" s="106"/>
      <c r="D20" s="107" t="s">
        <v>166</v>
      </c>
      <c r="E20" s="693">
        <f>F20/_1_9</f>
        <v>0.14729944861863917</v>
      </c>
      <c r="F20" s="389">
        <f>_7</f>
        <v>4742876.7985686567</v>
      </c>
      <c r="G20" s="104"/>
      <c r="H20" s="694">
        <v>0</v>
      </c>
      <c r="I20" s="389">
        <f>F20*H20</f>
        <v>0</v>
      </c>
      <c r="J20" s="50"/>
    </row>
    <row r="21" spans="1:13" ht="2.25" customHeight="1" x14ac:dyDescent="0.25">
      <c r="B21" s="13"/>
      <c r="C21" s="13"/>
      <c r="D21" s="14"/>
      <c r="E21" s="164"/>
      <c r="F21" s="175"/>
      <c r="G21" s="1"/>
      <c r="H21" s="631"/>
      <c r="I21" s="175"/>
      <c r="J21" s="50"/>
    </row>
    <row r="22" spans="1:13" s="12" customFormat="1" ht="12.95" customHeight="1" x14ac:dyDescent="0.2">
      <c r="A22" s="821">
        <v>8</v>
      </c>
      <c r="B22" s="821"/>
      <c r="C22" s="106"/>
      <c r="D22" s="107" t="s">
        <v>165</v>
      </c>
      <c r="E22" s="693">
        <f>F22/_1_9</f>
        <v>1.1180514222657702E-3</v>
      </c>
      <c r="F22" s="389">
        <f>_8</f>
        <v>36000</v>
      </c>
      <c r="G22" s="104"/>
      <c r="H22" s="694">
        <v>0</v>
      </c>
      <c r="I22" s="389">
        <f>F22*H22</f>
        <v>0</v>
      </c>
      <c r="J22" s="50"/>
    </row>
    <row r="23" spans="1:13" ht="2.25" customHeight="1" x14ac:dyDescent="0.25">
      <c r="B23" s="13"/>
      <c r="C23" s="13"/>
      <c r="D23" s="14"/>
      <c r="E23" s="164"/>
      <c r="F23" s="158"/>
      <c r="G23" s="1"/>
      <c r="H23" s="630"/>
      <c r="I23" s="158"/>
      <c r="J23" s="49"/>
    </row>
    <row r="24" spans="1:13" s="12" customFormat="1" ht="12.95" customHeight="1" x14ac:dyDescent="0.2">
      <c r="A24" s="821">
        <v>9</v>
      </c>
      <c r="B24" s="821"/>
      <c r="C24" s="106"/>
      <c r="D24" s="107" t="s">
        <v>10</v>
      </c>
      <c r="E24" s="693">
        <f>F24/_1_9</f>
        <v>4.9691174322923123E-2</v>
      </c>
      <c r="F24" s="389">
        <f>_9</f>
        <v>1600000</v>
      </c>
      <c r="G24" s="104"/>
      <c r="H24" s="694">
        <v>0.4</v>
      </c>
      <c r="I24" s="389">
        <f>F24*H24</f>
        <v>640000</v>
      </c>
      <c r="J24" s="50"/>
    </row>
    <row r="25" spans="1:13" ht="12" customHeight="1" x14ac:dyDescent="0.25">
      <c r="B25" s="17"/>
      <c r="C25" s="5"/>
      <c r="D25" s="1"/>
      <c r="E25" s="47"/>
      <c r="F25" s="1"/>
      <c r="G25" s="1"/>
      <c r="H25" s="1"/>
      <c r="I25" s="1"/>
      <c r="J25" s="1"/>
    </row>
    <row r="26" spans="1:13" s="141" customFormat="1" ht="12.95" customHeight="1" x14ac:dyDescent="0.25">
      <c r="A26" s="538" t="s">
        <v>12</v>
      </c>
      <c r="B26" s="539"/>
      <c r="C26" s="539"/>
      <c r="D26" s="539"/>
      <c r="E26" s="148">
        <f>SUM(E8:E24)</f>
        <v>0.99999999999999989</v>
      </c>
      <c r="F26" s="146">
        <f>SUM(F8+F10+F12+F14+F16+F18+F20+F22+F24)</f>
        <v>32198876.798568659</v>
      </c>
      <c r="G26" s="149"/>
      <c r="H26" s="191"/>
      <c r="I26" s="146">
        <f>SUM(I4:I24)</f>
        <v>26390000</v>
      </c>
      <c r="J26" s="3"/>
      <c r="K26" s="150"/>
    </row>
    <row r="27" spans="1:13" ht="4.5" customHeight="1" x14ac:dyDescent="0.25">
      <c r="B27" s="13"/>
      <c r="C27" s="13"/>
      <c r="D27" s="14"/>
      <c r="E27" s="47"/>
      <c r="F27" s="14"/>
      <c r="G27" s="1"/>
      <c r="H27" s="19"/>
      <c r="I27" s="15"/>
      <c r="J27" s="18"/>
      <c r="K27" s="30"/>
      <c r="L27" s="555"/>
      <c r="M27" s="554"/>
    </row>
    <row r="28" spans="1:13" s="11" customFormat="1" ht="12.95" customHeight="1" x14ac:dyDescent="0.2">
      <c r="A28" s="821"/>
      <c r="B28" s="821"/>
      <c r="C28" s="106" t="s">
        <v>432</v>
      </c>
      <c r="D28" s="107"/>
      <c r="E28" s="803"/>
      <c r="F28" s="389">
        <f>_mvB</f>
        <v>110000</v>
      </c>
      <c r="G28" s="104"/>
      <c r="H28" s="694">
        <v>1</v>
      </c>
      <c r="I28" s="389">
        <f>F28*H28</f>
        <v>110000</v>
      </c>
      <c r="J28" s="50"/>
    </row>
    <row r="29" spans="1:13" ht="4.5" customHeight="1" x14ac:dyDescent="0.25">
      <c r="B29" s="13"/>
      <c r="C29" s="13"/>
      <c r="D29" s="14"/>
      <c r="E29" s="47"/>
      <c r="F29" s="14"/>
      <c r="G29" s="1"/>
      <c r="H29" s="19"/>
      <c r="I29" s="15"/>
      <c r="J29" s="18"/>
    </row>
    <row r="30" spans="1:13" s="143" customFormat="1" ht="12.95" customHeight="1" x14ac:dyDescent="0.25">
      <c r="A30" s="321" t="s">
        <v>32</v>
      </c>
      <c r="B30" s="539"/>
      <c r="C30" s="539"/>
      <c r="D30" s="539"/>
      <c r="E30" s="539"/>
      <c r="F30" s="539"/>
      <c r="G30" s="539"/>
      <c r="H30" s="320"/>
      <c r="I30" s="146">
        <f>SUM(I26:I28)</f>
        <v>26500000</v>
      </c>
      <c r="J30" s="147"/>
    </row>
    <row r="31" spans="1:13" ht="13.5" customHeight="1" x14ac:dyDescent="0.25">
      <c r="A31" s="193"/>
      <c r="B31" s="193"/>
      <c r="C31" s="193"/>
      <c r="D31" s="193"/>
      <c r="E31" s="194"/>
      <c r="F31" s="193"/>
      <c r="G31" s="194"/>
      <c r="I31" s="308"/>
    </row>
    <row r="32" spans="1:13" s="143" customFormat="1" ht="12.95" customHeight="1" x14ac:dyDescent="0.25">
      <c r="A32" s="692" t="s">
        <v>83</v>
      </c>
      <c r="B32" s="692"/>
      <c r="C32" s="692"/>
      <c r="D32" s="692"/>
      <c r="E32" s="692"/>
      <c r="F32" s="692"/>
      <c r="G32" s="692"/>
      <c r="H32" s="692"/>
      <c r="I32" s="692"/>
      <c r="J32" s="147"/>
    </row>
    <row r="33" spans="1:11" s="11" customFormat="1" ht="4.5" customHeight="1" x14ac:dyDescent="0.25">
      <c r="I33" s="2"/>
      <c r="J33" s="2"/>
    </row>
    <row r="34" spans="1:11" ht="12.75" customHeight="1" x14ac:dyDescent="0.25">
      <c r="A34" s="25"/>
      <c r="B34" s="25"/>
      <c r="C34" s="25"/>
      <c r="D34" s="1"/>
      <c r="E34" s="1"/>
      <c r="F34" s="197" t="s">
        <v>5</v>
      </c>
      <c r="G34" s="822" t="s">
        <v>4</v>
      </c>
      <c r="H34" s="822"/>
      <c r="I34" s="309"/>
      <c r="J34" s="58"/>
    </row>
    <row r="35" spans="1:11" ht="12.75" customHeight="1" x14ac:dyDescent="0.25">
      <c r="B35" s="26" t="s">
        <v>46</v>
      </c>
      <c r="C35" s="60"/>
      <c r="D35" s="51"/>
      <c r="E35" s="51"/>
      <c r="F35" s="695">
        <v>13</v>
      </c>
      <c r="G35" s="823" t="s">
        <v>33</v>
      </c>
      <c r="H35" s="823"/>
      <c r="I35" s="309"/>
      <c r="J35" s="58"/>
    </row>
    <row r="36" spans="1:11" ht="12.75" customHeight="1" x14ac:dyDescent="0.25">
      <c r="B36" s="27" t="s">
        <v>47</v>
      </c>
      <c r="C36" s="61"/>
      <c r="D36" s="52"/>
      <c r="E36" s="52"/>
      <c r="F36" s="695">
        <v>2</v>
      </c>
      <c r="G36" s="824" t="s">
        <v>6</v>
      </c>
      <c r="H36" s="824"/>
      <c r="I36" s="309"/>
      <c r="J36" s="58"/>
    </row>
    <row r="37" spans="1:11" ht="12.75" customHeight="1" x14ac:dyDescent="0.25">
      <c r="B37" s="27" t="s">
        <v>48</v>
      </c>
      <c r="C37" s="61"/>
      <c r="D37" s="52"/>
      <c r="E37" s="52"/>
      <c r="F37" s="695">
        <v>1</v>
      </c>
      <c r="G37" s="824" t="s">
        <v>6</v>
      </c>
      <c r="H37" s="824"/>
      <c r="I37" s="309"/>
      <c r="J37" s="58"/>
    </row>
    <row r="38" spans="1:11" ht="12.75" customHeight="1" x14ac:dyDescent="0.25">
      <c r="B38" s="27" t="s">
        <v>49</v>
      </c>
      <c r="C38" s="52"/>
      <c r="D38" s="52"/>
      <c r="E38" s="52"/>
      <c r="F38" s="695">
        <v>2</v>
      </c>
      <c r="G38" s="824" t="s">
        <v>6</v>
      </c>
      <c r="H38" s="824"/>
      <c r="I38" s="309"/>
      <c r="J38" s="58"/>
    </row>
    <row r="39" spans="1:11" ht="4.5" customHeight="1" x14ac:dyDescent="0.25">
      <c r="A39" s="40"/>
      <c r="B39" s="40"/>
      <c r="C39" s="40"/>
      <c r="D39" s="1"/>
      <c r="E39" s="1"/>
      <c r="F39" s="201"/>
      <c r="G39" s="824"/>
      <c r="H39" s="824"/>
      <c r="I39" s="309"/>
      <c r="J39" s="58"/>
      <c r="K39" s="555"/>
    </row>
    <row r="40" spans="1:11" ht="12.75" customHeight="1" x14ac:dyDescent="0.25">
      <c r="B40" s="27" t="s">
        <v>141</v>
      </c>
      <c r="C40" s="61"/>
      <c r="D40" s="52"/>
      <c r="E40" s="52"/>
      <c r="F40" s="696"/>
      <c r="G40" s="824" t="s">
        <v>6</v>
      </c>
      <c r="H40" s="824"/>
      <c r="I40" s="309"/>
      <c r="J40" s="58"/>
    </row>
    <row r="41" spans="1:11" ht="12.75" customHeight="1" x14ac:dyDescent="0.25">
      <c r="B41" s="27" t="s">
        <v>142</v>
      </c>
      <c r="C41" s="61"/>
      <c r="D41" s="52"/>
      <c r="E41" s="52"/>
      <c r="F41" s="696"/>
      <c r="G41" s="824" t="s">
        <v>57</v>
      </c>
      <c r="H41" s="824"/>
      <c r="I41" s="309"/>
      <c r="J41" s="58"/>
    </row>
    <row r="42" spans="1:11" ht="12.75" customHeight="1" x14ac:dyDescent="0.25">
      <c r="B42" s="27" t="s">
        <v>143</v>
      </c>
      <c r="C42" s="61"/>
      <c r="D42" s="52"/>
      <c r="E42" s="52"/>
      <c r="F42" s="696"/>
      <c r="G42" s="824" t="s">
        <v>57</v>
      </c>
      <c r="H42" s="824"/>
      <c r="I42" s="309"/>
      <c r="J42" s="58"/>
    </row>
    <row r="43" spans="1:11" ht="12.75" customHeight="1" x14ac:dyDescent="0.25">
      <c r="B43" s="27" t="s">
        <v>144</v>
      </c>
      <c r="C43" s="61"/>
      <c r="D43" s="52"/>
      <c r="E43" s="52"/>
      <c r="F43" s="696"/>
      <c r="G43" s="824" t="s">
        <v>57</v>
      </c>
      <c r="H43" s="824"/>
      <c r="I43" s="309"/>
      <c r="J43" s="58"/>
    </row>
    <row r="44" spans="1:11" ht="12.75" customHeight="1" x14ac:dyDescent="0.25">
      <c r="B44" s="27" t="s">
        <v>145</v>
      </c>
      <c r="C44" s="61"/>
      <c r="D44" s="52"/>
      <c r="E44" s="52"/>
      <c r="F44" s="696"/>
      <c r="G44" s="824" t="s">
        <v>148</v>
      </c>
      <c r="H44" s="824"/>
      <c r="I44" s="309"/>
      <c r="J44" s="58"/>
    </row>
    <row r="45" spans="1:11" ht="12.75" customHeight="1" x14ac:dyDescent="0.25">
      <c r="B45" s="27" t="s">
        <v>146</v>
      </c>
      <c r="C45" s="61"/>
      <c r="D45" s="52"/>
      <c r="E45" s="52"/>
      <c r="F45" s="696"/>
      <c r="G45" s="824" t="s">
        <v>149</v>
      </c>
      <c r="H45" s="824"/>
      <c r="I45" s="309"/>
      <c r="J45" s="58"/>
    </row>
    <row r="46" spans="1:11" ht="12.75" customHeight="1" x14ac:dyDescent="0.25">
      <c r="B46" s="27" t="s">
        <v>147</v>
      </c>
      <c r="C46" s="61"/>
      <c r="D46" s="52"/>
      <c r="E46" s="52"/>
      <c r="F46" s="696"/>
      <c r="G46" s="824" t="s">
        <v>6</v>
      </c>
      <c r="H46" s="824"/>
      <c r="I46" s="309"/>
      <c r="J46" s="58"/>
    </row>
    <row r="47" spans="1:11" ht="4.5" customHeight="1" x14ac:dyDescent="0.25">
      <c r="A47" s="40"/>
      <c r="B47" s="40"/>
      <c r="C47" s="40"/>
      <c r="D47" s="1"/>
      <c r="E47" s="1"/>
      <c r="F47" s="201"/>
      <c r="G47" s="57"/>
      <c r="I47" s="309"/>
      <c r="J47" s="58"/>
      <c r="K47" s="555"/>
    </row>
    <row r="48" spans="1:11" ht="12.75" customHeight="1" x14ac:dyDescent="0.25">
      <c r="B48" s="25" t="s">
        <v>45</v>
      </c>
      <c r="C48" s="1"/>
      <c r="D48" s="202"/>
      <c r="E48" s="203"/>
      <c r="F48" s="204">
        <f>SUM(F35:F47)</f>
        <v>18</v>
      </c>
      <c r="G48" s="203"/>
      <c r="I48" s="309"/>
      <c r="J48" s="1"/>
    </row>
    <row r="49" spans="1:11" ht="12.95" customHeight="1" x14ac:dyDescent="0.25">
      <c r="B49" s="40"/>
      <c r="C49" s="1"/>
      <c r="D49" s="203"/>
      <c r="E49" s="203"/>
      <c r="F49" s="203"/>
      <c r="G49" s="203"/>
      <c r="H49" s="53"/>
      <c r="I49" s="309"/>
      <c r="J49" s="1"/>
      <c r="K49" s="555"/>
    </row>
    <row r="50" spans="1:11" s="143" customFormat="1" ht="12.95" customHeight="1" x14ac:dyDescent="0.25">
      <c r="A50" s="692" t="s">
        <v>171</v>
      </c>
      <c r="B50" s="692"/>
      <c r="C50" s="692"/>
      <c r="D50" s="692"/>
      <c r="E50" s="692"/>
      <c r="F50" s="692"/>
      <c r="G50" s="692"/>
      <c r="H50" s="692"/>
      <c r="I50" s="692"/>
      <c r="J50" s="147"/>
    </row>
    <row r="51" spans="1:11" s="11" customFormat="1" ht="4.5" customHeight="1" x14ac:dyDescent="0.25">
      <c r="I51" s="2"/>
      <c r="J51" s="2"/>
    </row>
    <row r="52" spans="1:11" ht="14.25" customHeight="1" x14ac:dyDescent="0.25">
      <c r="A52" s="206" t="s">
        <v>11</v>
      </c>
      <c r="B52" s="206"/>
      <c r="C52" s="1"/>
      <c r="F52" s="230">
        <f>I30</f>
        <v>26500000</v>
      </c>
      <c r="I52" s="1"/>
      <c r="J52" s="18"/>
    </row>
    <row r="53" spans="1:11" ht="14.25" customHeight="1" x14ac:dyDescent="0.25">
      <c r="A53" s="28" t="s">
        <v>86</v>
      </c>
      <c r="B53" s="28"/>
      <c r="C53" s="28"/>
      <c r="D53" s="1"/>
      <c r="E53" s="1"/>
      <c r="F53" s="131">
        <f>0.0214*F48+0.9143</f>
        <v>1.2995000000000001</v>
      </c>
      <c r="G53" s="155"/>
      <c r="I53" s="550"/>
      <c r="J53" s="18"/>
    </row>
    <row r="54" spans="1:11" ht="14.25" customHeight="1" x14ac:dyDescent="0.25">
      <c r="A54" s="28" t="s">
        <v>319</v>
      </c>
      <c r="B54" s="28"/>
      <c r="C54" s="28"/>
      <c r="D54" s="1"/>
      <c r="E54" s="1"/>
      <c r="F54" s="439">
        <f>ROUND(IF(F52=0,"-",1.75*(-0.0466*LN(F52)+1.213)*F53/100),4)</f>
        <v>9.4999999999999998E-3</v>
      </c>
      <c r="G54" s="449" t="s">
        <v>107</v>
      </c>
      <c r="I54" s="825" t="s">
        <v>329</v>
      </c>
      <c r="J54" s="825"/>
    </row>
    <row r="55" spans="1:11" ht="14.25" customHeight="1" x14ac:dyDescent="0.3">
      <c r="A55" s="311" t="s">
        <v>259</v>
      </c>
      <c r="B55" s="25"/>
      <c r="C55" s="25"/>
      <c r="D55" s="312"/>
      <c r="E55" s="208"/>
      <c r="F55" s="319">
        <f>IF(F52=0,"-",ROUND(F52*F54,2))</f>
        <v>251750</v>
      </c>
      <c r="G55" s="551" t="s">
        <v>169</v>
      </c>
      <c r="H55" s="19"/>
      <c r="I55" s="825"/>
      <c r="J55" s="825"/>
      <c r="K55" s="43"/>
    </row>
    <row r="56" spans="1:11" ht="12.75" customHeight="1" x14ac:dyDescent="0.25">
      <c r="A56" s="39"/>
      <c r="B56" s="40"/>
      <c r="C56" s="40"/>
      <c r="D56" s="208"/>
      <c r="G56" s="209"/>
      <c r="H56" s="57"/>
      <c r="I56" s="41"/>
      <c r="J56" s="18"/>
      <c r="K56" s="555"/>
    </row>
    <row r="57" spans="1:11" s="143" customFormat="1" ht="12.95" customHeight="1" x14ac:dyDescent="0.25">
      <c r="A57" s="692" t="s">
        <v>170</v>
      </c>
      <c r="B57" s="692"/>
      <c r="C57" s="692"/>
      <c r="D57" s="692"/>
      <c r="E57" s="692"/>
      <c r="F57" s="692"/>
      <c r="G57" s="692"/>
      <c r="H57" s="692"/>
      <c r="I57" s="692"/>
      <c r="J57" s="147"/>
    </row>
    <row r="58" spans="1:11" s="11" customFormat="1" ht="4.5" customHeight="1" x14ac:dyDescent="0.25">
      <c r="I58" s="2"/>
      <c r="J58" s="2"/>
    </row>
    <row r="59" spans="1:11" ht="12.75" customHeight="1" x14ac:dyDescent="0.25">
      <c r="A59" s="210" t="s">
        <v>35</v>
      </c>
      <c r="B59" s="210"/>
      <c r="C59" s="420"/>
      <c r="D59" s="1"/>
      <c r="E59" s="287">
        <v>0.2</v>
      </c>
      <c r="F59" s="697">
        <v>0.2</v>
      </c>
      <c r="G59" s="1"/>
      <c r="H59" s="212">
        <v>1</v>
      </c>
      <c r="I59" s="594">
        <f>IF($F$52=0,"-",$F$55*F59)</f>
        <v>50350</v>
      </c>
    </row>
    <row r="60" spans="1:11" ht="12.75" customHeight="1" x14ac:dyDescent="0.25">
      <c r="A60" s="210" t="s">
        <v>36</v>
      </c>
      <c r="B60" s="210"/>
      <c r="C60" s="420"/>
      <c r="D60" s="1"/>
      <c r="E60" s="288">
        <v>0.06</v>
      </c>
      <c r="F60" s="697">
        <v>0.06</v>
      </c>
      <c r="G60" s="1"/>
      <c r="H60" s="212">
        <v>2</v>
      </c>
      <c r="I60" s="594">
        <f t="shared" ref="I60:I71" si="0">IF($F$52=0,"-",$F$55*F60)</f>
        <v>15105</v>
      </c>
    </row>
    <row r="61" spans="1:11" ht="12.75" customHeight="1" x14ac:dyDescent="0.25">
      <c r="A61" s="210" t="s">
        <v>37</v>
      </c>
      <c r="B61" s="210"/>
      <c r="C61" s="420"/>
      <c r="D61" s="1"/>
      <c r="E61" s="288">
        <v>0.08</v>
      </c>
      <c r="F61" s="697">
        <v>0.08</v>
      </c>
      <c r="G61" s="1"/>
      <c r="H61" s="212">
        <v>3</v>
      </c>
      <c r="I61" s="594">
        <f t="shared" si="0"/>
        <v>20140</v>
      </c>
    </row>
    <row r="62" spans="1:11" ht="12.75" customHeight="1" x14ac:dyDescent="0.25">
      <c r="A62" s="210" t="s">
        <v>38</v>
      </c>
      <c r="B62" s="210"/>
      <c r="C62" s="420"/>
      <c r="D62" s="1"/>
      <c r="E62" s="288">
        <v>0.03</v>
      </c>
      <c r="F62" s="697">
        <v>0.03</v>
      </c>
      <c r="G62" s="1"/>
      <c r="H62" s="212">
        <v>4</v>
      </c>
      <c r="I62" s="594">
        <f t="shared" si="0"/>
        <v>7552.5</v>
      </c>
    </row>
    <row r="63" spans="1:11" ht="12.75" customHeight="1" x14ac:dyDescent="0.25">
      <c r="A63" s="210" t="s">
        <v>39</v>
      </c>
      <c r="B63" s="210"/>
      <c r="C63" s="420"/>
      <c r="D63" s="1"/>
      <c r="E63" s="288">
        <v>0.17</v>
      </c>
      <c r="F63" s="697">
        <v>0.17</v>
      </c>
      <c r="G63" s="1"/>
      <c r="H63" s="212">
        <v>5</v>
      </c>
      <c r="I63" s="594">
        <f t="shared" si="0"/>
        <v>42797.5</v>
      </c>
    </row>
    <row r="64" spans="1:11" ht="12.75" customHeight="1" x14ac:dyDescent="0.25">
      <c r="A64" s="210" t="s">
        <v>40</v>
      </c>
      <c r="B64" s="210"/>
      <c r="C64" s="420"/>
      <c r="D64" s="1"/>
      <c r="E64" s="288">
        <v>0.08</v>
      </c>
      <c r="F64" s="697">
        <v>0.08</v>
      </c>
      <c r="G64" s="1"/>
      <c r="H64" s="212">
        <v>6</v>
      </c>
      <c r="I64" s="594">
        <f t="shared" si="0"/>
        <v>20140</v>
      </c>
    </row>
    <row r="65" spans="1:11" ht="12.75" customHeight="1" x14ac:dyDescent="0.25">
      <c r="A65" s="210" t="s">
        <v>41</v>
      </c>
      <c r="B65" s="210"/>
      <c r="C65" s="420"/>
      <c r="D65" s="1"/>
      <c r="E65" s="288">
        <v>0.02</v>
      </c>
      <c r="F65" s="697">
        <v>0.02</v>
      </c>
      <c r="G65" s="1"/>
      <c r="H65" s="212"/>
      <c r="I65" s="594">
        <f t="shared" si="0"/>
        <v>5035</v>
      </c>
      <c r="K65" s="556"/>
    </row>
    <row r="66" spans="1:11" ht="12.75" customHeight="1" x14ac:dyDescent="0.25">
      <c r="A66" s="210" t="s">
        <v>42</v>
      </c>
      <c r="B66" s="210"/>
      <c r="C66" s="420"/>
      <c r="D66" s="1"/>
      <c r="E66" s="288">
        <v>0.03</v>
      </c>
      <c r="F66" s="697">
        <v>0.03</v>
      </c>
      <c r="G66" s="1"/>
      <c r="H66" s="212">
        <v>7</v>
      </c>
      <c r="I66" s="594">
        <f t="shared" si="0"/>
        <v>7552.5</v>
      </c>
      <c r="K66" s="556"/>
    </row>
    <row r="67" spans="1:11" ht="12.75" customHeight="1" x14ac:dyDescent="0.25">
      <c r="A67" s="193" t="s">
        <v>43</v>
      </c>
      <c r="B67" s="193"/>
      <c r="C67" s="420"/>
      <c r="D67" s="1"/>
      <c r="E67" s="288">
        <v>0.3</v>
      </c>
      <c r="F67" s="697">
        <v>0.3</v>
      </c>
      <c r="G67" s="1"/>
      <c r="H67" s="212">
        <v>8</v>
      </c>
      <c r="I67" s="594">
        <f t="shared" si="0"/>
        <v>75525</v>
      </c>
      <c r="K67" s="556"/>
    </row>
    <row r="68" spans="1:11" ht="12.75" customHeight="1" x14ac:dyDescent="0.25">
      <c r="A68" s="294" t="s">
        <v>44</v>
      </c>
      <c r="B68" s="294"/>
      <c r="C68" s="295"/>
      <c r="D68" s="1"/>
      <c r="E68" s="292">
        <v>0.03</v>
      </c>
      <c r="F68" s="697">
        <v>0.03</v>
      </c>
      <c r="G68" s="1"/>
      <c r="H68" s="296">
        <v>9</v>
      </c>
      <c r="I68" s="594">
        <f t="shared" si="0"/>
        <v>7552.5</v>
      </c>
      <c r="K68" s="556"/>
    </row>
    <row r="69" spans="1:11" s="303" customFormat="1" ht="12.75" customHeight="1" x14ac:dyDescent="0.25">
      <c r="A69" s="580" t="s">
        <v>164</v>
      </c>
      <c r="B69" s="580"/>
      <c r="C69" s="581"/>
      <c r="E69" s="582"/>
      <c r="F69" s="698">
        <v>0</v>
      </c>
      <c r="H69" s="583"/>
      <c r="I69" s="603">
        <f>IF($F$52=0,"-",$F$55*F69)</f>
        <v>0</v>
      </c>
      <c r="J69" s="301"/>
      <c r="K69" s="302"/>
    </row>
    <row r="70" spans="1:11" s="303" customFormat="1" ht="12.75" customHeight="1" x14ac:dyDescent="0.25">
      <c r="A70" s="580" t="s">
        <v>164</v>
      </c>
      <c r="B70" s="580"/>
      <c r="C70" s="581"/>
      <c r="E70" s="582"/>
      <c r="F70" s="698">
        <v>0</v>
      </c>
      <c r="H70" s="583"/>
      <c r="I70" s="603">
        <f>IF($F$52=0,"-",$F$55*F70)</f>
        <v>0</v>
      </c>
      <c r="J70" s="301"/>
      <c r="K70" s="302"/>
    </row>
    <row r="71" spans="1:11" s="303" customFormat="1" ht="12.75" customHeight="1" x14ac:dyDescent="0.25">
      <c r="A71" s="297" t="s">
        <v>164</v>
      </c>
      <c r="B71" s="297"/>
      <c r="C71" s="298"/>
      <c r="D71" s="299"/>
      <c r="E71" s="300"/>
      <c r="F71" s="699">
        <v>0</v>
      </c>
      <c r="G71" s="299"/>
      <c r="H71" s="314"/>
      <c r="I71" s="596">
        <f t="shared" si="0"/>
        <v>0</v>
      </c>
      <c r="J71" s="301"/>
      <c r="K71" s="302"/>
    </row>
    <row r="72" spans="1:11" ht="12.75" customHeight="1" x14ac:dyDescent="0.25">
      <c r="A72" s="213" t="s">
        <v>190</v>
      </c>
      <c r="B72" s="193"/>
      <c r="C72" s="28"/>
      <c r="D72" s="1"/>
      <c r="E72" s="384">
        <f>SUM(E59:E71)</f>
        <v>1</v>
      </c>
      <c r="F72" s="214">
        <f>SUM(F59:F71)</f>
        <v>1</v>
      </c>
      <c r="H72" s="214"/>
      <c r="I72" s="594">
        <f>SUM(I59:I71)</f>
        <v>251750</v>
      </c>
      <c r="K72" s="556"/>
    </row>
    <row r="73" spans="1:11" ht="12.75" customHeight="1" x14ac:dyDescent="0.25">
      <c r="I73" s="514"/>
      <c r="K73" s="556"/>
    </row>
    <row r="74" spans="1:11" s="143" customFormat="1" ht="12.95" customHeight="1" x14ac:dyDescent="0.25">
      <c r="A74" s="692" t="s">
        <v>172</v>
      </c>
      <c r="B74" s="692"/>
      <c r="C74" s="692"/>
      <c r="D74" s="692"/>
      <c r="E74" s="692"/>
      <c r="F74" s="692"/>
      <c r="G74" s="692"/>
      <c r="H74" s="692"/>
      <c r="I74" s="692"/>
      <c r="J74" s="147"/>
    </row>
    <row r="75" spans="1:11" s="11" customFormat="1" ht="4.5" customHeight="1" x14ac:dyDescent="0.25">
      <c r="I75" s="2"/>
      <c r="J75" s="2"/>
    </row>
    <row r="76" spans="1:11" ht="12.75" customHeight="1" x14ac:dyDescent="0.3">
      <c r="A76" s="311" t="s">
        <v>258</v>
      </c>
      <c r="E76" s="316"/>
      <c r="F76" s="575"/>
      <c r="G76" s="828"/>
      <c r="H76" s="829"/>
      <c r="I76" s="171">
        <f>I72</f>
        <v>251750</v>
      </c>
      <c r="K76" s="556"/>
    </row>
    <row r="77" spans="1:11" ht="12.75" customHeight="1" x14ac:dyDescent="0.25">
      <c r="A77" s="48" t="s">
        <v>113</v>
      </c>
      <c r="F77" s="700">
        <v>0</v>
      </c>
      <c r="G77" s="826">
        <v>100</v>
      </c>
      <c r="H77" s="827"/>
      <c r="I77" s="171">
        <f>F77*G77</f>
        <v>0</v>
      </c>
      <c r="K77" s="556"/>
    </row>
    <row r="78" spans="1:11" s="11" customFormat="1" ht="4.5" customHeight="1" x14ac:dyDescent="0.25">
      <c r="I78" s="2"/>
      <c r="J78" s="2"/>
    </row>
    <row r="79" spans="1:11" s="32" customFormat="1" ht="12.75" x14ac:dyDescent="0.2">
      <c r="A79" s="557" t="s">
        <v>261</v>
      </c>
      <c r="B79" s="558"/>
      <c r="C79" s="559"/>
      <c r="D79" s="559"/>
      <c r="E79" s="129"/>
      <c r="F79" s="560"/>
      <c r="G79" s="560"/>
      <c r="H79" s="560"/>
      <c r="I79" s="167">
        <f>I76+I77</f>
        <v>251750</v>
      </c>
      <c r="J79" s="36"/>
      <c r="K79" s="83"/>
    </row>
    <row r="80" spans="1:11" s="32" customFormat="1" ht="4.5" customHeight="1" x14ac:dyDescent="0.2">
      <c r="B80" s="33"/>
      <c r="C80" s="34"/>
      <c r="D80" s="34"/>
      <c r="E80" s="66"/>
      <c r="F80" s="67"/>
      <c r="G80" s="93"/>
      <c r="I80" s="168"/>
      <c r="J80" s="36"/>
      <c r="K80" s="85"/>
    </row>
    <row r="81" spans="1:11" s="32" customFormat="1" ht="12.75" x14ac:dyDescent="0.2">
      <c r="A81" s="68" t="s">
        <v>13</v>
      </c>
      <c r="B81" s="33"/>
      <c r="C81" s="34"/>
      <c r="D81" s="34"/>
      <c r="E81" s="76"/>
      <c r="F81" s="701">
        <v>0.04</v>
      </c>
      <c r="G81" s="94"/>
      <c r="H81" s="37"/>
      <c r="I81" s="169">
        <f>IF(F48=0,"-",ROUND(I79*F81,2))</f>
        <v>10070</v>
      </c>
      <c r="J81" s="36"/>
      <c r="K81" s="85"/>
    </row>
    <row r="82" spans="1:11" s="32" customFormat="1" ht="3" customHeight="1" x14ac:dyDescent="0.2">
      <c r="A82" s="69"/>
      <c r="B82" s="70"/>
      <c r="C82" s="71"/>
      <c r="D82" s="71"/>
      <c r="E82" s="77"/>
      <c r="F82" s="240"/>
      <c r="G82" s="95"/>
      <c r="H82" s="69"/>
      <c r="I82" s="170"/>
      <c r="J82" s="36"/>
      <c r="K82" s="85"/>
    </row>
    <row r="83" spans="1:11" s="32" customFormat="1" ht="3" customHeight="1" x14ac:dyDescent="0.2">
      <c r="B83" s="33"/>
      <c r="C83" s="34"/>
      <c r="D83" s="34"/>
      <c r="E83" s="79"/>
      <c r="F83" s="241"/>
      <c r="G83" s="96"/>
      <c r="H83" s="80"/>
      <c r="I83" s="168"/>
      <c r="J83" s="36"/>
      <c r="K83" s="85"/>
    </row>
    <row r="84" spans="1:11" s="32" customFormat="1" ht="3" customHeight="1" x14ac:dyDescent="0.2">
      <c r="A84" s="37"/>
      <c r="B84" s="231"/>
      <c r="C84" s="78"/>
      <c r="D84" s="78"/>
      <c r="E84" s="72"/>
      <c r="F84" s="67"/>
      <c r="G84" s="93"/>
      <c r="I84" s="173"/>
      <c r="J84" s="36"/>
      <c r="K84" s="85"/>
    </row>
    <row r="85" spans="1:11" s="32" customFormat="1" ht="12.75" x14ac:dyDescent="0.2">
      <c r="A85" s="557" t="s">
        <v>262</v>
      </c>
      <c r="B85" s="558"/>
      <c r="C85" s="559"/>
      <c r="D85" s="559"/>
      <c r="E85" s="129"/>
      <c r="F85" s="560"/>
      <c r="G85" s="560"/>
      <c r="H85" s="560"/>
      <c r="I85" s="167">
        <f>SUM(I79:I83)</f>
        <v>261820</v>
      </c>
      <c r="J85" s="36"/>
      <c r="K85" s="83"/>
    </row>
    <row r="86" spans="1:11" s="32" customFormat="1" ht="4.5" customHeight="1" x14ac:dyDescent="0.2">
      <c r="B86" s="33"/>
      <c r="C86" s="34"/>
      <c r="D86" s="34"/>
      <c r="E86" s="66"/>
      <c r="F86" s="67"/>
      <c r="G86" s="93"/>
      <c r="I86" s="168"/>
      <c r="J86" s="36"/>
      <c r="K86" s="85"/>
    </row>
    <row r="87" spans="1:11" s="32" customFormat="1" ht="12.75" x14ac:dyDescent="0.2">
      <c r="A87" s="68" t="s">
        <v>150</v>
      </c>
      <c r="B87" s="33"/>
      <c r="C87" s="34"/>
      <c r="D87" s="34"/>
      <c r="E87" s="76"/>
      <c r="F87" s="701">
        <v>0</v>
      </c>
      <c r="G87" s="94"/>
      <c r="H87" s="37"/>
      <c r="I87" s="169">
        <f>IF(F52=0,"-",ROUND(I85*F87,2))</f>
        <v>0</v>
      </c>
      <c r="J87" s="36"/>
      <c r="K87" s="85"/>
    </row>
    <row r="88" spans="1:11" s="32" customFormat="1" ht="3" customHeight="1" x14ac:dyDescent="0.2">
      <c r="A88" s="69"/>
      <c r="B88" s="70"/>
      <c r="C88" s="71"/>
      <c r="D88" s="71"/>
      <c r="E88" s="77"/>
      <c r="F88" s="240"/>
      <c r="G88" s="95"/>
      <c r="H88" s="69"/>
      <c r="I88" s="170"/>
      <c r="J88" s="36"/>
      <c r="K88" s="85"/>
    </row>
    <row r="89" spans="1:11" s="32" customFormat="1" ht="3" customHeight="1" x14ac:dyDescent="0.2">
      <c r="B89" s="33"/>
      <c r="C89" s="34"/>
      <c r="D89" s="34"/>
      <c r="E89" s="79"/>
      <c r="F89" s="241"/>
      <c r="G89" s="96"/>
      <c r="H89" s="80"/>
      <c r="I89" s="168"/>
      <c r="J89" s="36"/>
      <c r="K89" s="85"/>
    </row>
    <row r="90" spans="1:11" s="32" customFormat="1" ht="12.75" x14ac:dyDescent="0.2">
      <c r="A90" s="557" t="s">
        <v>263</v>
      </c>
      <c r="B90" s="558"/>
      <c r="C90" s="559"/>
      <c r="D90" s="559"/>
      <c r="E90" s="129"/>
      <c r="F90" s="560"/>
      <c r="G90" s="560"/>
      <c r="H90" s="560"/>
      <c r="I90" s="167">
        <f>I85+I87</f>
        <v>261820</v>
      </c>
      <c r="J90" s="36"/>
      <c r="K90" s="83"/>
    </row>
    <row r="91" spans="1:11" s="159" customFormat="1" ht="4.5" customHeight="1" x14ac:dyDescent="0.2">
      <c r="A91" s="73"/>
      <c r="B91" s="74"/>
      <c r="C91" s="75"/>
      <c r="D91" s="75"/>
      <c r="E91" s="615"/>
      <c r="I91" s="171"/>
      <c r="J91" s="36"/>
      <c r="K91" s="83"/>
    </row>
    <row r="92" spans="1:11" s="32" customFormat="1" ht="12.75" x14ac:dyDescent="0.2">
      <c r="A92" s="32" t="s">
        <v>14</v>
      </c>
      <c r="B92" s="33"/>
      <c r="D92" s="34"/>
      <c r="E92" s="72"/>
      <c r="F92" s="38">
        <v>0.2</v>
      </c>
      <c r="G92" s="38"/>
      <c r="I92" s="172">
        <f>IF(F52=0,"-",ROUND(I90*F92,2))</f>
        <v>52364</v>
      </c>
      <c r="J92" s="36"/>
      <c r="K92" s="90"/>
    </row>
    <row r="93" spans="1:11" s="32" customFormat="1" ht="3" customHeight="1" x14ac:dyDescent="0.2">
      <c r="A93" s="37"/>
      <c r="B93" s="231"/>
      <c r="C93" s="78"/>
      <c r="D93" s="78"/>
      <c r="E93" s="72"/>
      <c r="F93" s="67"/>
      <c r="G93" s="93"/>
      <c r="I93" s="173"/>
      <c r="J93" s="36"/>
      <c r="K93" s="85"/>
    </row>
    <row r="94" spans="1:11" s="37" customFormat="1" ht="12.75" x14ac:dyDescent="0.2">
      <c r="A94" s="564" t="s">
        <v>264</v>
      </c>
      <c r="B94" s="569"/>
      <c r="C94" s="565"/>
      <c r="D94" s="565"/>
      <c r="E94" s="226"/>
      <c r="F94" s="567"/>
      <c r="G94" s="567"/>
      <c r="H94" s="566"/>
      <c r="I94" s="233">
        <f>SUM(I89:I92)</f>
        <v>314184</v>
      </c>
      <c r="J94" s="36"/>
      <c r="K94" s="89"/>
    </row>
    <row r="95" spans="1:11" ht="5.0999999999999996" customHeight="1" x14ac:dyDescent="0.25">
      <c r="K95" s="556"/>
    </row>
  </sheetData>
  <mergeCells count="27">
    <mergeCell ref="G77:H77"/>
    <mergeCell ref="G42:H42"/>
    <mergeCell ref="G43:H43"/>
    <mergeCell ref="G44:H44"/>
    <mergeCell ref="G45:H45"/>
    <mergeCell ref="G46:H46"/>
    <mergeCell ref="G76:H76"/>
    <mergeCell ref="G38:H38"/>
    <mergeCell ref="G39:H39"/>
    <mergeCell ref="G40:H40"/>
    <mergeCell ref="G41:H41"/>
    <mergeCell ref="I54:J55"/>
    <mergeCell ref="G34:H34"/>
    <mergeCell ref="G35:H35"/>
    <mergeCell ref="A28:B28"/>
    <mergeCell ref="G36:H36"/>
    <mergeCell ref="G37:H37"/>
    <mergeCell ref="F3:I3"/>
    <mergeCell ref="A18:B18"/>
    <mergeCell ref="A20:B20"/>
    <mergeCell ref="A22:B22"/>
    <mergeCell ref="A24:B24"/>
    <mergeCell ref="A8:B8"/>
    <mergeCell ref="A10:B10"/>
    <mergeCell ref="A12:B12"/>
    <mergeCell ref="A14:B14"/>
    <mergeCell ref="A16:B16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&amp;L&amp;"Arial,Fett"&amp;10&amp;K00-042Vergabemodelle&amp;R&amp;"Arial,Fett"&amp;10&amp;K00-043Vertrag Generalplanung - Anhang 3</oddHeader>
    <oddFooter>&amp;L&amp;"Arial,Standard"&amp;9Seite &amp;P von &amp;N                              Juni 2018&amp;R&amp;"Arial,Fett"&amp;9Leitfaden Vergabe technische Beratung &amp; Planung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6">
    <tabColor theme="0" tint="-0.34998626667073579"/>
  </sheetPr>
  <dimension ref="A1:R104"/>
  <sheetViews>
    <sheetView showGridLines="0" tabSelected="1" view="pageLayout" zoomScale="70" zoomScaleNormal="70" zoomScaleSheetLayoutView="85" zoomScalePageLayoutView="70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5.7109375" style="1" customWidth="1"/>
    <col min="13" max="16384" width="11.5703125" style="1"/>
  </cols>
  <sheetData>
    <row r="1" spans="1:11" ht="5.0999999999999996" customHeight="1" x14ac:dyDescent="0.2"/>
    <row r="2" spans="1:11" s="54" customFormat="1" ht="35.1" customHeight="1" x14ac:dyDescent="0.2">
      <c r="A2" s="137"/>
      <c r="C2" s="13"/>
      <c r="D2" s="103"/>
      <c r="E2" s="820" t="s">
        <v>344</v>
      </c>
      <c r="F2" s="820"/>
      <c r="G2" s="820"/>
      <c r="H2" s="820"/>
      <c r="I2" s="820"/>
      <c r="J2" s="590"/>
      <c r="K2" s="62"/>
    </row>
    <row r="3" spans="1:11" s="11" customFormat="1" ht="12.95" customHeight="1" x14ac:dyDescent="0.25">
      <c r="A3" s="574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K5" s="45"/>
    </row>
    <row r="6" spans="1:11" s="11" customFormat="1" ht="6" customHeight="1" x14ac:dyDescent="0.25">
      <c r="F6" s="98"/>
      <c r="I6" s="2"/>
      <c r="K6" s="2"/>
    </row>
    <row r="7" spans="1:11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F7/F34</f>
        <v>2.1739888766278866E-3</v>
      </c>
      <c r="F7" s="389">
        <f>Projektkennwerte!M8</f>
        <v>70000</v>
      </c>
      <c r="G7" s="104"/>
      <c r="H7" s="135">
        <v>0</v>
      </c>
      <c r="I7" s="38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G8" s="1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597">
        <f>F9/F34</f>
        <v>0.27951285556644256</v>
      </c>
      <c r="F9" s="389">
        <f>Projektkennwerte!M10</f>
        <v>9000000</v>
      </c>
      <c r="G9" s="104"/>
      <c r="H9" s="135">
        <v>0</v>
      </c>
      <c r="I9" s="389">
        <f>F9*H9</f>
        <v>0</v>
      </c>
      <c r="K9" s="50"/>
    </row>
    <row r="10" spans="1:11" ht="2.25" customHeight="1" x14ac:dyDescent="0.2">
      <c r="B10" s="4"/>
      <c r="C10" s="6"/>
      <c r="D10" s="1"/>
      <c r="E10" s="161"/>
      <c r="F10" s="174"/>
      <c r="G10" s="1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F11/F34</f>
        <v>0.25156157000979829</v>
      </c>
      <c r="F11" s="389">
        <f>Projektkennwerte!M12</f>
        <v>8100000</v>
      </c>
      <c r="G11" s="104"/>
      <c r="H11" s="633"/>
      <c r="I11" s="158"/>
      <c r="K11" s="50"/>
    </row>
    <row r="12" spans="1:11" ht="12.95" customHeight="1" x14ac:dyDescent="0.2">
      <c r="A12" s="840">
        <v>3</v>
      </c>
      <c r="B12" s="840"/>
      <c r="C12" s="109" t="s">
        <v>17</v>
      </c>
      <c r="D12" s="110" t="s">
        <v>18</v>
      </c>
      <c r="E12" s="162"/>
      <c r="F12" s="176">
        <f>_3Sanitär</f>
        <v>900000</v>
      </c>
      <c r="G12" s="104"/>
      <c r="H12" s="136">
        <v>0.05</v>
      </c>
      <c r="I12" s="180">
        <f t="shared" ref="I12:I20" si="0">F12*H12</f>
        <v>45000</v>
      </c>
      <c r="K12" s="723" t="s">
        <v>346</v>
      </c>
    </row>
    <row r="13" spans="1:11" ht="12.95" customHeight="1" x14ac:dyDescent="0.2">
      <c r="A13" s="842">
        <v>3</v>
      </c>
      <c r="B13" s="842"/>
      <c r="C13" s="111" t="s">
        <v>19</v>
      </c>
      <c r="D13" s="112" t="s">
        <v>26</v>
      </c>
      <c r="E13" s="163"/>
      <c r="F13" s="177">
        <f>_3Heizung</f>
        <v>1000000</v>
      </c>
      <c r="G13" s="104"/>
      <c r="H13" s="136">
        <v>0.05</v>
      </c>
      <c r="I13" s="235">
        <f t="shared" si="0"/>
        <v>50000</v>
      </c>
      <c r="K13" s="723" t="s">
        <v>347</v>
      </c>
    </row>
    <row r="14" spans="1:11" ht="12.95" customHeight="1" x14ac:dyDescent="0.2">
      <c r="A14" s="842">
        <v>3</v>
      </c>
      <c r="B14" s="842"/>
      <c r="C14" s="111" t="s">
        <v>20</v>
      </c>
      <c r="D14" s="112" t="s">
        <v>27</v>
      </c>
      <c r="E14" s="163"/>
      <c r="F14" s="178">
        <f>_3Lüftung</f>
        <v>1000000</v>
      </c>
      <c r="G14" s="104"/>
      <c r="H14" s="136">
        <v>0.05</v>
      </c>
      <c r="I14" s="235">
        <f t="shared" si="0"/>
        <v>50000</v>
      </c>
      <c r="K14" s="724" t="s">
        <v>345</v>
      </c>
    </row>
    <row r="15" spans="1:11" ht="12.95" customHeight="1" x14ac:dyDescent="0.2">
      <c r="A15" s="842">
        <v>3</v>
      </c>
      <c r="B15" s="842"/>
      <c r="C15" s="111" t="s">
        <v>21</v>
      </c>
      <c r="D15" s="112" t="s">
        <v>28</v>
      </c>
      <c r="E15" s="163"/>
      <c r="F15" s="178">
        <f>_3Elektro</f>
        <v>1500000</v>
      </c>
      <c r="G15" s="104"/>
      <c r="H15" s="136">
        <v>0.05</v>
      </c>
      <c r="I15" s="235">
        <f t="shared" si="0"/>
        <v>75000</v>
      </c>
      <c r="K15" s="724" t="s">
        <v>345</v>
      </c>
    </row>
    <row r="16" spans="1:11" ht="12.95" customHeight="1" x14ac:dyDescent="0.2">
      <c r="A16" s="842">
        <v>3</v>
      </c>
      <c r="B16" s="842"/>
      <c r="C16" s="111" t="s">
        <v>22</v>
      </c>
      <c r="D16" s="112" t="s">
        <v>31</v>
      </c>
      <c r="E16" s="163"/>
      <c r="F16" s="178">
        <f>_3IT</f>
        <v>600000</v>
      </c>
      <c r="G16" s="104"/>
      <c r="H16" s="136">
        <v>0.05</v>
      </c>
      <c r="I16" s="235">
        <f t="shared" si="0"/>
        <v>30000</v>
      </c>
      <c r="K16" s="724" t="s">
        <v>345</v>
      </c>
    </row>
    <row r="17" spans="1:11" ht="12.95" customHeight="1" x14ac:dyDescent="0.2">
      <c r="A17" s="842">
        <v>3</v>
      </c>
      <c r="B17" s="842"/>
      <c r="C17" s="111" t="s">
        <v>23</v>
      </c>
      <c r="D17" s="112" t="s">
        <v>29</v>
      </c>
      <c r="E17" s="163"/>
      <c r="F17" s="178">
        <f>_3Föte</f>
        <v>1500000</v>
      </c>
      <c r="G17" s="104"/>
      <c r="H17" s="136">
        <v>0.05</v>
      </c>
      <c r="I17" s="235">
        <f t="shared" si="0"/>
        <v>75000</v>
      </c>
      <c r="K17" s="724" t="s">
        <v>345</v>
      </c>
    </row>
    <row r="18" spans="1:11" ht="12.95" customHeight="1" x14ac:dyDescent="0.2">
      <c r="A18" s="842">
        <v>3</v>
      </c>
      <c r="B18" s="842"/>
      <c r="C18" s="111" t="s">
        <v>24</v>
      </c>
      <c r="D18" s="112" t="s">
        <v>30</v>
      </c>
      <c r="E18" s="163"/>
      <c r="F18" s="178">
        <f>_3Nutzer</f>
        <v>300000</v>
      </c>
      <c r="G18" s="104"/>
      <c r="H18" s="136">
        <v>0.05</v>
      </c>
      <c r="I18" s="235">
        <f t="shared" si="0"/>
        <v>15000</v>
      </c>
      <c r="K18" s="724" t="s">
        <v>345</v>
      </c>
    </row>
    <row r="19" spans="1:11" ht="12.95" customHeight="1" x14ac:dyDescent="0.2">
      <c r="A19" s="687">
        <v>3</v>
      </c>
      <c r="B19" s="687"/>
      <c r="C19" s="111" t="s">
        <v>317</v>
      </c>
      <c r="D19" s="112" t="s">
        <v>316</v>
      </c>
      <c r="E19" s="163"/>
      <c r="F19" s="178">
        <f>Projektkennwerte!M49</f>
        <v>1000000</v>
      </c>
      <c r="G19" s="104"/>
      <c r="H19" s="136">
        <v>0.05</v>
      </c>
      <c r="I19" s="689">
        <f t="shared" si="0"/>
        <v>50000</v>
      </c>
      <c r="K19" s="724" t="s">
        <v>345</v>
      </c>
    </row>
    <row r="20" spans="1:11" ht="12.95" customHeight="1" x14ac:dyDescent="0.2">
      <c r="A20" s="842">
        <v>3</v>
      </c>
      <c r="B20" s="842"/>
      <c r="C20" s="111" t="s">
        <v>25</v>
      </c>
      <c r="D20" s="112" t="s">
        <v>8</v>
      </c>
      <c r="E20" s="163"/>
      <c r="F20" s="178">
        <f>_3GA</f>
        <v>300000</v>
      </c>
      <c r="G20" s="104"/>
      <c r="H20" s="136">
        <v>1</v>
      </c>
      <c r="I20" s="236">
        <f t="shared" si="0"/>
        <v>300000</v>
      </c>
      <c r="K20" s="50"/>
    </row>
    <row r="21" spans="1:11" ht="2.25" customHeight="1" x14ac:dyDescent="0.2">
      <c r="B21" s="4"/>
      <c r="C21" s="6"/>
      <c r="D21" s="1"/>
      <c r="E21" s="161"/>
      <c r="F21" s="174"/>
      <c r="G21" s="1"/>
      <c r="H21" s="631"/>
      <c r="I21" s="174"/>
      <c r="K21" s="63"/>
    </row>
    <row r="22" spans="1:11" s="11" customFormat="1" ht="12.75" customHeight="1" x14ac:dyDescent="0.2">
      <c r="A22" s="821">
        <v>4</v>
      </c>
      <c r="B22" s="821"/>
      <c r="C22" s="106"/>
      <c r="D22" s="107" t="s">
        <v>2</v>
      </c>
      <c r="E22" s="597">
        <f>F22/F34</f>
        <v>0.20187039568687518</v>
      </c>
      <c r="F22" s="389">
        <f>Projektkennwerte!M14</f>
        <v>6500000</v>
      </c>
      <c r="G22" s="104"/>
      <c r="H22" s="135">
        <v>0</v>
      </c>
      <c r="I22" s="389">
        <f>F22*H22</f>
        <v>0</v>
      </c>
      <c r="K22" s="50"/>
    </row>
    <row r="23" spans="1:11" ht="2.25" customHeight="1" x14ac:dyDescent="0.2">
      <c r="B23" s="4"/>
      <c r="C23" s="6"/>
      <c r="D23" s="1"/>
      <c r="E23" s="161"/>
      <c r="F23" s="174"/>
      <c r="G23" s="1"/>
      <c r="H23" s="631"/>
      <c r="I23" s="174"/>
      <c r="K23" s="63"/>
    </row>
    <row r="24" spans="1:11" s="12" customFormat="1" ht="12.95" customHeight="1" x14ac:dyDescent="0.2">
      <c r="A24" s="821">
        <v>5</v>
      </c>
      <c r="B24" s="821"/>
      <c r="C24" s="106"/>
      <c r="D24" s="107" t="s">
        <v>9</v>
      </c>
      <c r="E24" s="597">
        <f>F24/F34</f>
        <v>5.1244023520514471E-2</v>
      </c>
      <c r="F24" s="389">
        <f>Projektkennwerte!M16</f>
        <v>1650000</v>
      </c>
      <c r="G24" s="104"/>
      <c r="H24" s="135">
        <v>0</v>
      </c>
      <c r="I24" s="389">
        <f>F24*H24</f>
        <v>0</v>
      </c>
      <c r="K24" s="50"/>
    </row>
    <row r="25" spans="1:11" ht="2.25" customHeight="1" x14ac:dyDescent="0.2">
      <c r="B25" s="4"/>
      <c r="C25" s="6"/>
      <c r="D25" s="1"/>
      <c r="E25" s="161"/>
      <c r="F25" s="174"/>
      <c r="G25" s="1"/>
      <c r="H25" s="631"/>
      <c r="I25" s="174"/>
      <c r="K25" s="63"/>
    </row>
    <row r="26" spans="1:11" s="11" customFormat="1" ht="12.95" customHeight="1" x14ac:dyDescent="0.2">
      <c r="A26" s="821">
        <v>6</v>
      </c>
      <c r="B26" s="821"/>
      <c r="C26" s="106"/>
      <c r="D26" s="107" t="s">
        <v>3</v>
      </c>
      <c r="E26" s="597">
        <f>F26/F34</f>
        <v>1.5528491975913475E-2</v>
      </c>
      <c r="F26" s="389">
        <f>Projektkennwerte!M18</f>
        <v>500000</v>
      </c>
      <c r="G26" s="104"/>
      <c r="H26" s="135">
        <v>0</v>
      </c>
      <c r="I26" s="389">
        <f>F26*H26</f>
        <v>0</v>
      </c>
      <c r="K26" s="50"/>
    </row>
    <row r="27" spans="1:11" ht="2.25" customHeight="1" x14ac:dyDescent="0.2">
      <c r="B27" s="4"/>
      <c r="C27" s="6"/>
      <c r="D27" s="1"/>
      <c r="E27" s="161"/>
      <c r="F27" s="174"/>
      <c r="G27" s="1"/>
      <c r="H27" s="631"/>
      <c r="I27" s="174"/>
      <c r="K27" s="63"/>
    </row>
    <row r="28" spans="1:11" s="12" customFormat="1" ht="12.95" customHeight="1" x14ac:dyDescent="0.2">
      <c r="A28" s="821">
        <v>7</v>
      </c>
      <c r="B28" s="821"/>
      <c r="C28" s="106"/>
      <c r="D28" s="107" t="s">
        <v>110</v>
      </c>
      <c r="E28" s="597">
        <f>F28/F34</f>
        <v>0.14729944861863917</v>
      </c>
      <c r="F28" s="389">
        <f>Projektkennwerte!M20</f>
        <v>4742876.7985686567</v>
      </c>
      <c r="G28" s="104"/>
      <c r="H28" s="135">
        <v>0</v>
      </c>
      <c r="I28" s="389">
        <f>F28*H28</f>
        <v>0</v>
      </c>
      <c r="K28" s="50"/>
    </row>
    <row r="29" spans="1:11" ht="2.25" customHeight="1" x14ac:dyDescent="0.2">
      <c r="B29" s="4"/>
      <c r="C29" s="6"/>
      <c r="D29" s="1"/>
      <c r="E29" s="161"/>
      <c r="F29" s="174"/>
      <c r="G29" s="1"/>
      <c r="H29" s="631"/>
      <c r="I29" s="174"/>
      <c r="K29" s="63"/>
    </row>
    <row r="30" spans="1:11" s="12" customFormat="1" ht="12.95" customHeight="1" x14ac:dyDescent="0.2">
      <c r="A30" s="821">
        <v>8</v>
      </c>
      <c r="B30" s="821"/>
      <c r="C30" s="106"/>
      <c r="D30" s="107" t="s">
        <v>105</v>
      </c>
      <c r="E30" s="597">
        <f>F30/F34</f>
        <v>1.1180514222657702E-3</v>
      </c>
      <c r="F30" s="389">
        <f>Projektkennwerte!M22</f>
        <v>36000</v>
      </c>
      <c r="G30" s="104"/>
      <c r="H30" s="135">
        <v>0</v>
      </c>
      <c r="I30" s="389">
        <f>F30*H30</f>
        <v>0</v>
      </c>
      <c r="K30" s="50"/>
    </row>
    <row r="31" spans="1:11" ht="2.25" customHeight="1" x14ac:dyDescent="0.2">
      <c r="B31" s="4"/>
      <c r="C31" s="6"/>
      <c r="D31" s="1"/>
      <c r="E31" s="161"/>
      <c r="F31" s="174"/>
      <c r="G31" s="1"/>
      <c r="H31" s="631"/>
      <c r="I31" s="174"/>
      <c r="K31" s="63"/>
    </row>
    <row r="32" spans="1:11" s="12" customFormat="1" ht="12.95" customHeight="1" x14ac:dyDescent="0.2">
      <c r="A32" s="821">
        <v>9</v>
      </c>
      <c r="B32" s="821"/>
      <c r="C32" s="106"/>
      <c r="D32" s="107" t="s">
        <v>10</v>
      </c>
      <c r="E32" s="597">
        <f>F32/F34</f>
        <v>4.9691174322923123E-2</v>
      </c>
      <c r="F32" s="389">
        <f>Projektkennwerte!M24</f>
        <v>1600000</v>
      </c>
      <c r="G32" s="104"/>
      <c r="H32" s="135">
        <v>0.01</v>
      </c>
      <c r="I32" s="389">
        <f>F32*H32</f>
        <v>16000</v>
      </c>
      <c r="K32" s="50"/>
    </row>
    <row r="33" spans="1:13" ht="12" customHeight="1" x14ac:dyDescent="0.2">
      <c r="B33" s="17"/>
      <c r="C33" s="5"/>
      <c r="D33" s="1"/>
      <c r="E33" s="47"/>
      <c r="F33" s="1"/>
      <c r="G33" s="1"/>
      <c r="H33" s="138"/>
      <c r="I33" s="1"/>
      <c r="K33" s="1"/>
    </row>
    <row r="34" spans="1:13" ht="12.75" customHeight="1" x14ac:dyDescent="0.25">
      <c r="A34" s="538" t="s">
        <v>12</v>
      </c>
      <c r="B34" s="539"/>
      <c r="C34" s="539"/>
      <c r="D34" s="539"/>
      <c r="E34" s="102">
        <f>SUM(E7:E32)</f>
        <v>0.99999999999999989</v>
      </c>
      <c r="F34" s="454">
        <f>SUM(F7+F9+F11+F22+F24+F26+F28+F30+F32)</f>
        <v>32198876.798568659</v>
      </c>
      <c r="G34" s="92"/>
      <c r="H34" s="216"/>
      <c r="I34" s="30"/>
      <c r="K34" s="30"/>
    </row>
    <row r="35" spans="1:13" ht="4.5" customHeight="1" x14ac:dyDescent="0.2">
      <c r="B35" s="13"/>
      <c r="C35" s="13"/>
      <c r="D35" s="14"/>
      <c r="E35" s="1"/>
      <c r="F35" s="47"/>
      <c r="G35" s="1"/>
      <c r="H35" s="19"/>
      <c r="I35" s="15"/>
      <c r="K35" s="63"/>
    </row>
    <row r="36" spans="1:13" s="92" customFormat="1" ht="12.95" customHeight="1" x14ac:dyDescent="0.3">
      <c r="A36" s="538" t="s">
        <v>32</v>
      </c>
      <c r="B36" s="539"/>
      <c r="C36" s="539"/>
      <c r="D36" s="539"/>
      <c r="E36" s="531"/>
      <c r="F36" s="531"/>
      <c r="G36" s="531"/>
      <c r="H36" s="338"/>
      <c r="I36" s="146">
        <f>SUM(I7:I32)</f>
        <v>706000</v>
      </c>
      <c r="K36" s="444"/>
    </row>
    <row r="37" spans="1:13" s="92" customFormat="1" ht="12.75" customHeight="1" x14ac:dyDescent="0.3">
      <c r="A37" s="435"/>
      <c r="B37" s="149"/>
      <c r="C37" s="149"/>
      <c r="D37" s="149"/>
      <c r="H37" s="436"/>
      <c r="I37" s="437"/>
      <c r="K37" s="444"/>
    </row>
    <row r="38" spans="1:13" ht="12.75" customHeight="1" x14ac:dyDescent="0.2">
      <c r="A38" s="340" t="s">
        <v>83</v>
      </c>
      <c r="B38" s="341"/>
      <c r="C38" s="341"/>
      <c r="D38" s="341"/>
      <c r="E38" s="341"/>
      <c r="F38" s="341"/>
      <c r="G38" s="341"/>
      <c r="H38" s="341"/>
      <c r="I38" s="359"/>
      <c r="K38" s="18"/>
    </row>
    <row r="39" spans="1:13" ht="4.5" customHeight="1" x14ac:dyDescent="0.2">
      <c r="A39" s="195"/>
      <c r="B39" s="196"/>
      <c r="C39" s="196"/>
      <c r="D39" s="196"/>
      <c r="E39" s="196"/>
      <c r="F39" s="196"/>
      <c r="G39" s="196"/>
      <c r="H39" s="196"/>
      <c r="I39" s="220"/>
      <c r="J39" s="59"/>
      <c r="K39" s="18"/>
    </row>
    <row r="40" spans="1:13" ht="12.75" customHeight="1" x14ac:dyDescent="0.2">
      <c r="A40" s="25"/>
      <c r="B40" s="25"/>
      <c r="C40" s="25"/>
      <c r="D40" s="1"/>
      <c r="E40" s="1"/>
      <c r="F40" s="197" t="s">
        <v>5</v>
      </c>
      <c r="H40" s="198" t="s">
        <v>4</v>
      </c>
      <c r="I40" s="309"/>
      <c r="K40" s="58"/>
    </row>
    <row r="41" spans="1:13" ht="12.75" customHeight="1" x14ac:dyDescent="0.2">
      <c r="B41" s="26" t="s">
        <v>46</v>
      </c>
      <c r="C41" s="60"/>
      <c r="D41" s="51"/>
      <c r="E41" s="51"/>
      <c r="F41" s="151">
        <v>20</v>
      </c>
      <c r="H41" s="199" t="s">
        <v>58</v>
      </c>
      <c r="I41" s="309"/>
      <c r="K41" s="58"/>
    </row>
    <row r="42" spans="1:13" ht="12.75" customHeight="1" x14ac:dyDescent="0.2">
      <c r="B42" s="27" t="s">
        <v>47</v>
      </c>
      <c r="C42" s="61"/>
      <c r="D42" s="52"/>
      <c r="E42" s="52"/>
      <c r="F42" s="151">
        <v>2</v>
      </c>
      <c r="G42" s="200"/>
      <c r="H42" s="200" t="s">
        <v>6</v>
      </c>
      <c r="I42" s="309"/>
      <c r="K42" s="58"/>
    </row>
    <row r="43" spans="1:13" ht="12.75" customHeight="1" x14ac:dyDescent="0.2">
      <c r="B43" s="27" t="s">
        <v>48</v>
      </c>
      <c r="C43" s="61"/>
      <c r="D43" s="52"/>
      <c r="E43" s="52"/>
      <c r="F43" s="151">
        <v>1</v>
      </c>
      <c r="G43" s="200"/>
      <c r="H43" s="200" t="s">
        <v>6</v>
      </c>
      <c r="I43" s="309"/>
      <c r="K43" s="58"/>
    </row>
    <row r="44" spans="1:13" ht="12.75" customHeight="1" x14ac:dyDescent="0.2">
      <c r="B44" s="27" t="s">
        <v>49</v>
      </c>
      <c r="C44" s="52"/>
      <c r="D44" s="52"/>
      <c r="E44" s="52"/>
      <c r="F44" s="151">
        <v>2</v>
      </c>
      <c r="G44" s="200"/>
      <c r="H44" s="200" t="s">
        <v>6</v>
      </c>
      <c r="I44" s="309"/>
      <c r="K44" s="58"/>
    </row>
    <row r="45" spans="1:13" ht="4.5" customHeight="1" x14ac:dyDescent="0.2">
      <c r="A45" s="40"/>
      <c r="B45" s="40"/>
      <c r="C45" s="40"/>
      <c r="D45" s="1"/>
      <c r="E45" s="1"/>
      <c r="F45" s="201"/>
      <c r="H45" s="201"/>
      <c r="I45" s="309"/>
      <c r="K45" s="58"/>
    </row>
    <row r="46" spans="1:13" ht="12.75" customHeight="1" x14ac:dyDescent="0.25">
      <c r="B46" s="27" t="s">
        <v>141</v>
      </c>
      <c r="C46" s="61"/>
      <c r="D46" s="52"/>
      <c r="E46" s="52"/>
      <c r="F46" s="563"/>
      <c r="G46" s="329"/>
      <c r="H46" s="200" t="s">
        <v>57</v>
      </c>
      <c r="I46" s="309"/>
      <c r="J46" s="58"/>
      <c r="K46" s="554"/>
      <c r="L46" s="554"/>
      <c r="M46" s="554"/>
    </row>
    <row r="47" spans="1:13" ht="12.75" customHeight="1" x14ac:dyDescent="0.25">
      <c r="B47" s="27" t="s">
        <v>185</v>
      </c>
      <c r="C47" s="61"/>
      <c r="D47" s="52"/>
      <c r="E47" s="52"/>
      <c r="F47" s="563"/>
      <c r="G47" s="329"/>
      <c r="H47" s="200" t="s">
        <v>57</v>
      </c>
      <c r="I47" s="309"/>
      <c r="J47" s="58"/>
      <c r="K47" s="554"/>
      <c r="L47" s="554"/>
      <c r="M47" s="554"/>
    </row>
    <row r="48" spans="1:13" ht="12.75" customHeight="1" x14ac:dyDescent="0.25">
      <c r="B48" s="27" t="s">
        <v>143</v>
      </c>
      <c r="C48" s="61"/>
      <c r="D48" s="52"/>
      <c r="E48" s="52"/>
      <c r="F48" s="563"/>
      <c r="G48" s="329"/>
      <c r="H48" s="200" t="s">
        <v>57</v>
      </c>
      <c r="I48" s="309"/>
      <c r="J48" s="58"/>
      <c r="K48" s="554"/>
      <c r="L48" s="554"/>
      <c r="M48" s="554"/>
    </row>
    <row r="49" spans="1:15" ht="12.75" customHeight="1" x14ac:dyDescent="0.25">
      <c r="B49" s="27" t="s">
        <v>144</v>
      </c>
      <c r="C49" s="61"/>
      <c r="D49" s="52"/>
      <c r="E49" s="52"/>
      <c r="F49" s="563"/>
      <c r="G49" s="329"/>
      <c r="H49" s="200" t="s">
        <v>57</v>
      </c>
      <c r="I49" s="309"/>
      <c r="J49" s="58"/>
      <c r="K49" s="554"/>
      <c r="L49" s="554"/>
      <c r="M49" s="554"/>
    </row>
    <row r="50" spans="1:15" ht="12.75" customHeight="1" x14ac:dyDescent="0.25">
      <c r="B50" s="27" t="s">
        <v>181</v>
      </c>
      <c r="C50" s="61"/>
      <c r="D50" s="52"/>
      <c r="E50" s="52"/>
      <c r="F50" s="563"/>
      <c r="G50" s="329"/>
      <c r="H50" s="200" t="s">
        <v>163</v>
      </c>
      <c r="I50" s="309"/>
      <c r="J50" s="58"/>
      <c r="K50" s="554"/>
      <c r="L50" s="554"/>
      <c r="M50" s="554"/>
    </row>
    <row r="51" spans="1:15" ht="12.75" customHeight="1" x14ac:dyDescent="0.25">
      <c r="B51" s="27" t="s">
        <v>183</v>
      </c>
      <c r="C51" s="61"/>
      <c r="D51" s="52"/>
      <c r="E51" s="52"/>
      <c r="F51" s="563"/>
      <c r="G51" s="329"/>
      <c r="H51" s="200" t="s">
        <v>160</v>
      </c>
      <c r="I51" s="309"/>
      <c r="J51" s="58"/>
      <c r="K51" s="554"/>
      <c r="L51" s="554"/>
      <c r="M51" s="554"/>
    </row>
    <row r="52" spans="1:15" ht="12.75" customHeight="1" x14ac:dyDescent="0.25">
      <c r="B52" s="27" t="s">
        <v>182</v>
      </c>
      <c r="C52" s="61"/>
      <c r="D52" s="52"/>
      <c r="E52" s="52"/>
      <c r="F52" s="563"/>
      <c r="G52" s="329"/>
      <c r="H52" s="200" t="s">
        <v>6</v>
      </c>
      <c r="I52" s="309"/>
      <c r="J52" s="1"/>
      <c r="K52" s="554"/>
    </row>
    <row r="53" spans="1:15" ht="12.75" customHeight="1" x14ac:dyDescent="0.25">
      <c r="B53" s="27" t="s">
        <v>186</v>
      </c>
      <c r="C53" s="61"/>
      <c r="D53" s="52"/>
      <c r="E53" s="52"/>
      <c r="F53" s="563"/>
      <c r="G53" s="329"/>
      <c r="H53" s="200" t="s">
        <v>57</v>
      </c>
      <c r="I53" s="309"/>
      <c r="J53" s="1"/>
      <c r="K53" s="554"/>
    </row>
    <row r="54" spans="1:15" ht="12.75" customHeight="1" x14ac:dyDescent="0.25">
      <c r="B54" s="27" t="s">
        <v>187</v>
      </c>
      <c r="C54" s="61"/>
      <c r="D54" s="52"/>
      <c r="E54" s="52"/>
      <c r="F54" s="563"/>
      <c r="G54" s="329"/>
      <c r="H54" s="200" t="s">
        <v>57</v>
      </c>
      <c r="I54" s="309"/>
      <c r="J54" s="1"/>
      <c r="K54" s="554"/>
    </row>
    <row r="55" spans="1:15" ht="4.5" customHeight="1" x14ac:dyDescent="0.2">
      <c r="A55" s="40"/>
      <c r="B55" s="40"/>
      <c r="C55" s="1"/>
      <c r="D55" s="203"/>
      <c r="E55" s="203"/>
      <c r="F55" s="203"/>
      <c r="H55" s="203"/>
      <c r="I55" s="309"/>
      <c r="K55" s="1"/>
    </row>
    <row r="56" spans="1:15" ht="12.75" customHeight="1" x14ac:dyDescent="0.2">
      <c r="B56" s="25" t="s">
        <v>45</v>
      </c>
      <c r="C56" s="1"/>
      <c r="D56" s="202"/>
      <c r="E56" s="203"/>
      <c r="F56" s="222">
        <f>SUM(F41:F54)</f>
        <v>25</v>
      </c>
      <c r="H56" s="203"/>
      <c r="I56" s="309"/>
      <c r="K56" s="1"/>
    </row>
    <row r="57" spans="1:15" ht="12.95" customHeight="1" x14ac:dyDescent="0.2">
      <c r="B57" s="40"/>
      <c r="C57" s="1"/>
      <c r="D57" s="203"/>
      <c r="E57" s="203"/>
      <c r="F57" s="203"/>
      <c r="H57" s="203"/>
      <c r="I57" s="309"/>
      <c r="K57" s="1"/>
    </row>
    <row r="58" spans="1:15" ht="12.95" customHeight="1" x14ac:dyDescent="0.2">
      <c r="A58" s="553" t="s">
        <v>171</v>
      </c>
      <c r="B58" s="340"/>
      <c r="C58" s="341"/>
      <c r="D58" s="341"/>
      <c r="E58" s="341"/>
      <c r="F58" s="341"/>
      <c r="G58" s="343"/>
      <c r="H58" s="341"/>
      <c r="I58" s="358"/>
      <c r="K58" s="18"/>
    </row>
    <row r="59" spans="1:15" ht="4.5" customHeight="1" x14ac:dyDescent="0.2">
      <c r="A59" s="205"/>
      <c r="B59" s="205"/>
      <c r="C59" s="205"/>
      <c r="D59" s="205"/>
      <c r="F59" s="8"/>
      <c r="I59" s="1"/>
      <c r="K59" s="18"/>
    </row>
    <row r="60" spans="1:15" ht="14.25" customHeight="1" x14ac:dyDescent="0.2">
      <c r="A60" s="206" t="s">
        <v>11</v>
      </c>
      <c r="B60" s="206"/>
      <c r="C60" s="1"/>
      <c r="F60" s="230">
        <f>I36</f>
        <v>706000</v>
      </c>
      <c r="I60" s="1"/>
      <c r="K60" s="18"/>
    </row>
    <row r="61" spans="1:15" s="258" customFormat="1" ht="14.25" customHeight="1" x14ac:dyDescent="0.3">
      <c r="A61" s="257" t="s">
        <v>78</v>
      </c>
      <c r="B61" s="257"/>
      <c r="C61" s="257"/>
      <c r="F61" s="260">
        <f>0.03*F56+0.73</f>
        <v>1.48</v>
      </c>
      <c r="H61" s="261"/>
      <c r="I61" s="446"/>
      <c r="K61" s="18"/>
    </row>
    <row r="62" spans="1:15" ht="14.25" customHeight="1" x14ac:dyDescent="0.25">
      <c r="A62" s="28" t="s">
        <v>81</v>
      </c>
      <c r="B62" s="28"/>
      <c r="C62" s="28"/>
      <c r="D62" s="1"/>
      <c r="E62" s="1"/>
      <c r="F62" s="251">
        <f>ROUND(IF(F60&lt;2000000,202*F60^(-0.2248)*F61/100,(37.8*F60^(-0.109)*F61/100)),4)</f>
        <v>0.14480000000000001</v>
      </c>
      <c r="I62" s="550"/>
      <c r="K62" s="18"/>
    </row>
    <row r="63" spans="1:15" s="258" customFormat="1" ht="14.25" customHeight="1" x14ac:dyDescent="0.3">
      <c r="A63" s="257" t="s">
        <v>93</v>
      </c>
      <c r="B63" s="257"/>
      <c r="C63" s="257"/>
      <c r="F63" s="439">
        <f>202*F60^(-0.2248)*F61/100</f>
        <v>0.14481107850937722</v>
      </c>
      <c r="G63" s="259" t="str">
        <f>IF(F60&lt;2000000,"(PL + ÖBA)","")</f>
        <v>(PL + ÖBA)</v>
      </c>
      <c r="H63" s="259"/>
      <c r="I63" s="446"/>
      <c r="K63" s="18"/>
    </row>
    <row r="64" spans="1:15" s="258" customFormat="1" ht="14.25" customHeight="1" x14ac:dyDescent="0.3">
      <c r="A64" s="257" t="s">
        <v>94</v>
      </c>
      <c r="B64" s="257"/>
      <c r="C64" s="257"/>
      <c r="D64" s="257"/>
      <c r="F64" s="439">
        <f>37.8*F60^(-0.109)*F61/100</f>
        <v>0.12889432686908106</v>
      </c>
      <c r="H64" s="259"/>
      <c r="I64" s="446"/>
      <c r="K64" s="18"/>
      <c r="O64" s="73"/>
    </row>
    <row r="65" spans="1:18" ht="14.25" customHeight="1" x14ac:dyDescent="0.3">
      <c r="A65" s="311" t="s">
        <v>79</v>
      </c>
      <c r="B65" s="25"/>
      <c r="C65" s="25"/>
      <c r="D65" s="312"/>
      <c r="E65" s="208"/>
      <c r="F65" s="323">
        <f>ROUND(F60*F62,2)</f>
        <v>102228.8</v>
      </c>
      <c r="G65" s="551" t="s">
        <v>174</v>
      </c>
      <c r="I65" s="326"/>
      <c r="J65" s="15"/>
      <c r="K65" s="18"/>
    </row>
    <row r="66" spans="1:18" ht="15" customHeight="1" x14ac:dyDescent="0.2">
      <c r="A66" s="311"/>
      <c r="B66" s="25"/>
      <c r="C66" s="25"/>
      <c r="D66" s="312"/>
      <c r="E66" s="208"/>
      <c r="F66" s="326"/>
      <c r="G66" s="209"/>
      <c r="H66" s="209"/>
      <c r="I66" s="326"/>
      <c r="J66" s="15"/>
      <c r="K66" s="18"/>
    </row>
    <row r="67" spans="1:18" ht="12.95" customHeight="1" x14ac:dyDescent="0.2">
      <c r="A67" s="573" t="s">
        <v>170</v>
      </c>
      <c r="B67" s="351"/>
      <c r="C67" s="351"/>
      <c r="D67" s="352"/>
      <c r="E67" s="352"/>
      <c r="F67" s="353"/>
      <c r="G67" s="343"/>
      <c r="H67" s="353"/>
      <c r="I67" s="342"/>
      <c r="J67" s="41"/>
      <c r="K67" s="18"/>
    </row>
    <row r="68" spans="1:18" ht="6" customHeight="1" x14ac:dyDescent="0.2">
      <c r="B68" s="13"/>
      <c r="C68" s="13"/>
      <c r="D68" s="14"/>
      <c r="E68" s="1"/>
      <c r="F68" s="47"/>
      <c r="G68" s="14"/>
      <c r="H68" s="19"/>
      <c r="J68" s="18"/>
    </row>
    <row r="69" spans="1:18" ht="12.75" customHeight="1" x14ac:dyDescent="0.25">
      <c r="A69" s="210" t="s">
        <v>53</v>
      </c>
      <c r="B69" s="210"/>
      <c r="C69" s="420"/>
      <c r="D69" s="1"/>
      <c r="E69" s="287">
        <v>0.02</v>
      </c>
      <c r="F69" s="243">
        <v>0.02</v>
      </c>
      <c r="H69" s="212">
        <v>1</v>
      </c>
      <c r="I69" s="621">
        <f>IF($F$60=0,"-",$F$65*F69)</f>
        <v>2044.576</v>
      </c>
      <c r="J69" s="514"/>
      <c r="R69" s="73"/>
    </row>
    <row r="70" spans="1:18" ht="12.75" customHeight="1" x14ac:dyDescent="0.25">
      <c r="A70" s="210" t="s">
        <v>36</v>
      </c>
      <c r="B70" s="210"/>
      <c r="C70" s="420"/>
      <c r="D70" s="1"/>
      <c r="E70" s="288">
        <v>0.08</v>
      </c>
      <c r="F70" s="429">
        <v>0.08</v>
      </c>
      <c r="H70" s="212">
        <v>2</v>
      </c>
      <c r="I70" s="621">
        <f t="shared" ref="I70:I81" si="1">IF($F$60=0,"-",$F$65*F70)</f>
        <v>8178.3040000000001</v>
      </c>
      <c r="J70" s="514"/>
    </row>
    <row r="71" spans="1:18" ht="12.75" customHeight="1" x14ac:dyDescent="0.25">
      <c r="A71" s="210" t="s">
        <v>37</v>
      </c>
      <c r="B71" s="210"/>
      <c r="C71" s="420"/>
      <c r="D71" s="1"/>
      <c r="E71" s="288">
        <v>0.12</v>
      </c>
      <c r="F71" s="429">
        <v>0.12</v>
      </c>
      <c r="H71" s="212">
        <v>3</v>
      </c>
      <c r="I71" s="621">
        <f t="shared" si="1"/>
        <v>12267.456</v>
      </c>
      <c r="J71" s="514"/>
    </row>
    <row r="72" spans="1:18" ht="12.75" customHeight="1" x14ac:dyDescent="0.25">
      <c r="A72" s="210" t="s">
        <v>38</v>
      </c>
      <c r="B72" s="210"/>
      <c r="C72" s="420"/>
      <c r="D72" s="1"/>
      <c r="E72" s="288">
        <v>0.05</v>
      </c>
      <c r="F72" s="429">
        <v>0.05</v>
      </c>
      <c r="H72" s="212">
        <v>4</v>
      </c>
      <c r="I72" s="621">
        <f t="shared" si="1"/>
        <v>5111.4400000000005</v>
      </c>
      <c r="J72" s="514"/>
      <c r="L72" s="1" t="s">
        <v>95</v>
      </c>
    </row>
    <row r="73" spans="1:18" ht="12.75" customHeight="1" x14ac:dyDescent="0.25">
      <c r="A73" s="210" t="s">
        <v>39</v>
      </c>
      <c r="B73" s="210"/>
      <c r="C73" s="420"/>
      <c r="D73" s="1"/>
      <c r="E73" s="288">
        <v>0.22</v>
      </c>
      <c r="F73" s="429">
        <v>0.22</v>
      </c>
      <c r="H73" s="212">
        <v>5</v>
      </c>
      <c r="I73" s="621">
        <f t="shared" si="1"/>
        <v>22490.335999999999</v>
      </c>
      <c r="J73" s="514"/>
    </row>
    <row r="74" spans="1:18" ht="12.75" customHeight="1" x14ac:dyDescent="0.25">
      <c r="A74" s="210" t="s">
        <v>40</v>
      </c>
      <c r="B74" s="210"/>
      <c r="C74" s="420"/>
      <c r="D74" s="1"/>
      <c r="E74" s="288">
        <v>7.0000000000000007E-2</v>
      </c>
      <c r="F74" s="429">
        <v>7.0000000000000007E-2</v>
      </c>
      <c r="H74" s="212">
        <v>6</v>
      </c>
      <c r="I74" s="621">
        <f t="shared" si="1"/>
        <v>7156.0160000000005</v>
      </c>
      <c r="J74" s="514"/>
    </row>
    <row r="75" spans="1:18" ht="12.75" customHeight="1" x14ac:dyDescent="0.25">
      <c r="A75" s="210" t="s">
        <v>61</v>
      </c>
      <c r="B75" s="210"/>
      <c r="C75" s="420"/>
      <c r="D75" s="1"/>
      <c r="E75" s="288">
        <v>0.03</v>
      </c>
      <c r="F75" s="429">
        <v>0.03</v>
      </c>
      <c r="H75" s="212"/>
      <c r="I75" s="621">
        <f t="shared" si="1"/>
        <v>3066.864</v>
      </c>
      <c r="J75" s="514"/>
    </row>
    <row r="76" spans="1:18" ht="12.75" customHeight="1" x14ac:dyDescent="0.25">
      <c r="A76" s="210" t="s">
        <v>54</v>
      </c>
      <c r="B76" s="210"/>
      <c r="C76" s="420"/>
      <c r="D76" s="1"/>
      <c r="E76" s="288">
        <v>0.04</v>
      </c>
      <c r="F76" s="429">
        <v>0.04</v>
      </c>
      <c r="H76" s="212">
        <v>7</v>
      </c>
      <c r="I76" s="621">
        <f t="shared" si="1"/>
        <v>4089.152</v>
      </c>
      <c r="J76" s="514"/>
    </row>
    <row r="77" spans="1:18" ht="12.75" customHeight="1" x14ac:dyDescent="0.25">
      <c r="A77" s="193" t="s">
        <v>80</v>
      </c>
      <c r="B77" s="193"/>
      <c r="C77" s="420"/>
      <c r="D77" s="1"/>
      <c r="E77" s="288">
        <v>0.35</v>
      </c>
      <c r="F77" s="429">
        <v>0.35</v>
      </c>
      <c r="H77" s="212">
        <v>8</v>
      </c>
      <c r="I77" s="621">
        <f t="shared" si="1"/>
        <v>35780.080000000002</v>
      </c>
      <c r="J77" s="514"/>
    </row>
    <row r="78" spans="1:18" ht="12.75" customHeight="1" x14ac:dyDescent="0.25">
      <c r="A78" s="294" t="s">
        <v>55</v>
      </c>
      <c r="B78" s="294"/>
      <c r="C78" s="295"/>
      <c r="D78" s="1"/>
      <c r="E78" s="292">
        <v>0.02</v>
      </c>
      <c r="F78" s="430">
        <v>0.02</v>
      </c>
      <c r="H78" s="296">
        <v>9</v>
      </c>
      <c r="I78" s="621">
        <f t="shared" si="1"/>
        <v>2044.576</v>
      </c>
      <c r="J78" s="514"/>
    </row>
    <row r="79" spans="1:18" s="303" customFormat="1" ht="12.75" customHeight="1" x14ac:dyDescent="0.25">
      <c r="A79" s="580" t="s">
        <v>164</v>
      </c>
      <c r="B79" s="580"/>
      <c r="C79" s="581"/>
      <c r="E79" s="582"/>
      <c r="F79" s="609">
        <v>0</v>
      </c>
      <c r="I79" s="622">
        <f t="shared" si="1"/>
        <v>0</v>
      </c>
      <c r="J79" s="301"/>
      <c r="K79" s="302"/>
      <c r="L79" s="302"/>
      <c r="M79" s="302"/>
    </row>
    <row r="80" spans="1:18" s="303" customFormat="1" ht="12.75" customHeight="1" x14ac:dyDescent="0.25">
      <c r="A80" s="580" t="s">
        <v>164</v>
      </c>
      <c r="B80" s="580"/>
      <c r="C80" s="581"/>
      <c r="E80" s="582"/>
      <c r="F80" s="609">
        <v>0</v>
      </c>
      <c r="I80" s="622">
        <f t="shared" si="1"/>
        <v>0</v>
      </c>
      <c r="J80" s="301"/>
      <c r="K80" s="302"/>
      <c r="L80" s="302"/>
      <c r="M80" s="302"/>
    </row>
    <row r="81" spans="1:14" s="303" customFormat="1" ht="12.75" customHeight="1" x14ac:dyDescent="0.25">
      <c r="A81" s="297" t="s">
        <v>164</v>
      </c>
      <c r="B81" s="297"/>
      <c r="C81" s="298"/>
      <c r="D81" s="299"/>
      <c r="E81" s="300"/>
      <c r="F81" s="610">
        <v>0</v>
      </c>
      <c r="G81" s="299"/>
      <c r="I81" s="622">
        <f t="shared" si="1"/>
        <v>0</v>
      </c>
      <c r="J81" s="301"/>
      <c r="K81" s="302"/>
      <c r="L81" s="302"/>
      <c r="M81" s="302"/>
    </row>
    <row r="82" spans="1:14" s="258" customFormat="1" ht="13.5" customHeight="1" x14ac:dyDescent="0.25">
      <c r="A82" s="213" t="s">
        <v>190</v>
      </c>
      <c r="B82" s="262"/>
      <c r="C82" s="257"/>
      <c r="E82" s="613">
        <f>SUM(E69:E78)</f>
        <v>1</v>
      </c>
      <c r="F82" s="264">
        <f>SUM(F69:F81)</f>
        <v>1</v>
      </c>
      <c r="H82" s="618"/>
      <c r="I82" s="623">
        <f>SUM(I69:I81)</f>
        <v>102228.80000000002</v>
      </c>
      <c r="J82" s="265"/>
      <c r="K82" s="59"/>
    </row>
    <row r="83" spans="1:14" s="258" customFormat="1" ht="13.5" customHeight="1" x14ac:dyDescent="0.25">
      <c r="A83" s="213"/>
      <c r="B83" s="262"/>
      <c r="C83" s="257"/>
      <c r="E83" s="613"/>
      <c r="F83" s="263"/>
      <c r="I83" s="627"/>
      <c r="J83" s="265"/>
      <c r="K83" s="59"/>
    </row>
    <row r="84" spans="1:14" ht="12.75" customHeight="1" x14ac:dyDescent="0.2">
      <c r="A84" s="573" t="s">
        <v>172</v>
      </c>
      <c r="B84" s="573"/>
      <c r="C84" s="573"/>
      <c r="D84" s="573"/>
      <c r="E84" s="573"/>
      <c r="F84" s="573"/>
      <c r="G84" s="573"/>
      <c r="H84" s="573"/>
      <c r="I84" s="573"/>
      <c r="J84" s="147"/>
      <c r="K84" s="3"/>
      <c r="L84" s="143"/>
      <c r="M84" s="143"/>
    </row>
    <row r="85" spans="1:14" s="32" customFormat="1" ht="4.5" customHeight="1" x14ac:dyDescent="0.2">
      <c r="B85" s="33"/>
      <c r="C85" s="34"/>
      <c r="D85" s="34"/>
      <c r="E85" s="65"/>
      <c r="F85" s="67"/>
      <c r="G85" s="93"/>
      <c r="H85" s="93"/>
      <c r="I85" s="119"/>
      <c r="K85" s="36"/>
    </row>
    <row r="86" spans="1:14" ht="12.75" customHeight="1" x14ac:dyDescent="0.3">
      <c r="A86" s="311" t="s">
        <v>79</v>
      </c>
      <c r="B86" s="554"/>
      <c r="C86" s="554"/>
      <c r="D86" s="554"/>
      <c r="E86" s="316"/>
      <c r="F86" s="575"/>
      <c r="G86" s="828"/>
      <c r="H86" s="829"/>
      <c r="I86" s="599">
        <f>I82</f>
        <v>102228.80000000002</v>
      </c>
      <c r="J86" s="554"/>
      <c r="K86" s="556"/>
      <c r="L86" s="556"/>
      <c r="M86" s="556"/>
    </row>
    <row r="87" spans="1:14" ht="12.75" customHeight="1" x14ac:dyDescent="0.25">
      <c r="A87" s="48" t="s">
        <v>113</v>
      </c>
      <c r="F87" s="571">
        <v>0</v>
      </c>
      <c r="G87" s="572"/>
      <c r="H87" s="572">
        <v>0</v>
      </c>
      <c r="I87" s="599">
        <f>F87*H87</f>
        <v>0</v>
      </c>
      <c r="L87" s="556"/>
      <c r="M87" s="556"/>
      <c r="N87" s="556"/>
    </row>
    <row r="88" spans="1:14" s="32" customFormat="1" ht="4.5" customHeight="1" x14ac:dyDescent="0.2">
      <c r="B88" s="33"/>
      <c r="C88" s="34"/>
      <c r="D88" s="34"/>
      <c r="E88" s="65"/>
      <c r="F88" s="67"/>
      <c r="G88" s="93"/>
      <c r="H88" s="93"/>
      <c r="I88" s="119"/>
      <c r="K88" s="36"/>
    </row>
    <row r="89" spans="1:14" s="32" customFormat="1" ht="12.75" x14ac:dyDescent="0.2">
      <c r="A89" s="557" t="s">
        <v>227</v>
      </c>
      <c r="B89" s="558"/>
      <c r="C89" s="559"/>
      <c r="D89" s="559"/>
      <c r="E89" s="560"/>
      <c r="F89" s="562"/>
      <c r="G89" s="560"/>
      <c r="H89" s="560"/>
      <c r="I89" s="561">
        <f>I86+I87</f>
        <v>102228.80000000002</v>
      </c>
      <c r="K89" s="36"/>
    </row>
    <row r="90" spans="1:14" s="32" customFormat="1" ht="4.5" customHeight="1" x14ac:dyDescent="0.2">
      <c r="B90" s="33"/>
      <c r="C90" s="34"/>
      <c r="D90" s="34"/>
      <c r="E90" s="65"/>
      <c r="F90" s="67"/>
      <c r="G90" s="93"/>
      <c r="H90" s="93"/>
      <c r="I90" s="119"/>
      <c r="K90" s="36"/>
    </row>
    <row r="91" spans="1:14" s="32" customFormat="1" ht="12.75" x14ac:dyDescent="0.2">
      <c r="A91" s="68" t="s">
        <v>13</v>
      </c>
      <c r="B91" s="33"/>
      <c r="C91" s="34"/>
      <c r="D91" s="34"/>
      <c r="E91" s="76"/>
      <c r="F91" s="570">
        <v>0.04</v>
      </c>
      <c r="G91" s="334"/>
      <c r="H91" s="94"/>
      <c r="I91" s="120">
        <f>ROUND(I89*F91,2)</f>
        <v>4089.15</v>
      </c>
      <c r="K91" s="36"/>
    </row>
    <row r="92" spans="1:14" s="32" customFormat="1" ht="3" customHeight="1" x14ac:dyDescent="0.2">
      <c r="A92" s="69"/>
      <c r="B92" s="70"/>
      <c r="C92" s="71"/>
      <c r="D92" s="71"/>
      <c r="E92" s="77"/>
      <c r="F92" s="240"/>
      <c r="G92" s="249"/>
      <c r="H92" s="95"/>
      <c r="I92" s="121"/>
      <c r="K92" s="36"/>
    </row>
    <row r="93" spans="1:14" s="32" customFormat="1" ht="3" customHeight="1" x14ac:dyDescent="0.2">
      <c r="B93" s="33"/>
      <c r="C93" s="34"/>
      <c r="D93" s="34"/>
      <c r="E93" s="79"/>
      <c r="F93" s="241"/>
      <c r="G93" s="335"/>
      <c r="H93" s="96"/>
      <c r="I93" s="119"/>
      <c r="K93" s="36"/>
    </row>
    <row r="94" spans="1:14" s="32" customFormat="1" ht="12.75" x14ac:dyDescent="0.2">
      <c r="A94" s="557" t="s">
        <v>228</v>
      </c>
      <c r="B94" s="558"/>
      <c r="C94" s="559"/>
      <c r="D94" s="559"/>
      <c r="E94" s="363"/>
      <c r="F94" s="362"/>
      <c r="G94" s="362"/>
      <c r="H94" s="360"/>
      <c r="I94" s="561">
        <f>I89+I91</f>
        <v>106317.95000000001</v>
      </c>
      <c r="K94" s="36"/>
    </row>
    <row r="95" spans="1:14" s="32" customFormat="1" ht="4.5" customHeight="1" x14ac:dyDescent="0.2">
      <c r="A95" s="73"/>
      <c r="B95" s="74"/>
      <c r="C95" s="75"/>
      <c r="D95" s="75"/>
      <c r="E95" s="35"/>
      <c r="F95" s="238"/>
      <c r="G95" s="336"/>
      <c r="H95" s="94"/>
      <c r="I95" s="122"/>
      <c r="K95" s="36"/>
    </row>
    <row r="96" spans="1:14" s="32" customFormat="1" ht="12.75" x14ac:dyDescent="0.2">
      <c r="A96" s="159" t="s">
        <v>150</v>
      </c>
      <c r="B96" s="74"/>
      <c r="C96" s="75"/>
      <c r="D96" s="75"/>
      <c r="E96" s="35"/>
      <c r="F96" s="570">
        <v>0</v>
      </c>
      <c r="G96" s="94"/>
      <c r="H96" s="37"/>
      <c r="I96" s="120">
        <f>ROUND(I94*F96,2)</f>
        <v>0</v>
      </c>
      <c r="K96" s="36"/>
    </row>
    <row r="97" spans="1:11" s="32" customFormat="1" ht="3" customHeight="1" x14ac:dyDescent="0.2">
      <c r="A97" s="69"/>
      <c r="B97" s="70"/>
      <c r="C97" s="71"/>
      <c r="D97" s="71"/>
      <c r="E97" s="77"/>
      <c r="F97" s="240"/>
      <c r="G97" s="249"/>
      <c r="H97" s="95"/>
      <c r="I97" s="121"/>
      <c r="K97" s="36"/>
    </row>
    <row r="98" spans="1:11" s="32" customFormat="1" ht="3" customHeight="1" x14ac:dyDescent="0.2">
      <c r="B98" s="33"/>
      <c r="C98" s="34"/>
      <c r="D98" s="34"/>
      <c r="E98" s="79"/>
      <c r="F98" s="241"/>
      <c r="G98" s="335"/>
      <c r="H98" s="96"/>
      <c r="I98" s="119"/>
      <c r="K98" s="36"/>
    </row>
    <row r="99" spans="1:11" s="32" customFormat="1" ht="12.75" x14ac:dyDescent="0.2">
      <c r="A99" s="557" t="s">
        <v>229</v>
      </c>
      <c r="B99" s="558"/>
      <c r="C99" s="559"/>
      <c r="D99" s="559"/>
      <c r="E99" s="363"/>
      <c r="F99" s="362"/>
      <c r="G99" s="362"/>
      <c r="H99" s="360"/>
      <c r="I99" s="561">
        <f>I94+I96</f>
        <v>106317.95000000001</v>
      </c>
      <c r="K99" s="36"/>
    </row>
    <row r="100" spans="1:11" s="32" customFormat="1" ht="4.5" customHeight="1" x14ac:dyDescent="0.2">
      <c r="A100" s="73"/>
      <c r="B100" s="74"/>
      <c r="C100" s="75"/>
      <c r="D100" s="75"/>
      <c r="E100" s="35"/>
      <c r="F100" s="238"/>
      <c r="G100" s="336"/>
      <c r="H100" s="94"/>
      <c r="I100" s="122"/>
      <c r="K100" s="36"/>
    </row>
    <row r="101" spans="1:11" s="32" customFormat="1" ht="12.75" x14ac:dyDescent="0.2">
      <c r="A101" s="32" t="s">
        <v>14</v>
      </c>
      <c r="B101" s="33"/>
      <c r="D101" s="34"/>
      <c r="E101" s="72"/>
      <c r="F101" s="38">
        <v>0.2</v>
      </c>
      <c r="G101" s="38"/>
      <c r="H101" s="38"/>
      <c r="I101" s="123">
        <f>ROUND(I94*F101,2)</f>
        <v>21263.59</v>
      </c>
      <c r="K101" s="36"/>
    </row>
    <row r="102" spans="1:11" s="32" customFormat="1" ht="3" customHeight="1" x14ac:dyDescent="0.2">
      <c r="A102" s="37"/>
      <c r="B102" s="231"/>
      <c r="C102" s="78"/>
      <c r="D102" s="78"/>
      <c r="E102" s="72"/>
      <c r="F102" s="67"/>
      <c r="G102" s="93"/>
      <c r="H102" s="93"/>
      <c r="I102" s="124"/>
      <c r="K102" s="36"/>
    </row>
    <row r="103" spans="1:11" s="37" customFormat="1" ht="12.75" x14ac:dyDescent="0.2">
      <c r="A103" s="564" t="s">
        <v>230</v>
      </c>
      <c r="B103" s="569"/>
      <c r="C103" s="565"/>
      <c r="D103" s="565"/>
      <c r="E103" s="566"/>
      <c r="F103" s="567"/>
      <c r="G103" s="567"/>
      <c r="H103" s="567"/>
      <c r="I103" s="568">
        <f>SUM(I99:I101)</f>
        <v>127581.54000000001</v>
      </c>
      <c r="K103" s="36"/>
    </row>
    <row r="104" spans="1:11" ht="5.0999999999999996" customHeight="1" x14ac:dyDescent="0.2">
      <c r="F104" s="8"/>
      <c r="G104" s="42"/>
    </row>
  </sheetData>
  <mergeCells count="19">
    <mergeCell ref="A20:B20"/>
    <mergeCell ref="E2:I2"/>
    <mergeCell ref="A7:B7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G86:H86"/>
    <mergeCell ref="A30:B30"/>
    <mergeCell ref="A32:B32"/>
    <mergeCell ref="A22:B22"/>
    <mergeCell ref="A24:B24"/>
    <mergeCell ref="A26:B26"/>
    <mergeCell ref="A28:B28"/>
  </mergeCells>
  <conditionalFormatting sqref="F63">
    <cfRule type="expression" dxfId="1" priority="2" stopIfTrue="1">
      <formula>$F$60&gt;1999999.99</formula>
    </cfRule>
  </conditionalFormatting>
  <conditionalFormatting sqref="F64">
    <cfRule type="expression" dxfId="0" priority="1" stopIfTrue="1">
      <formula>$F$60&lt;2000000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&amp;L&amp;"Arial,Fett"&amp;10Vergabemodelle&amp;R&amp;"Arial,Fett"&amp;10&amp;K00-046Vertrag Generalplanung - Anhang 3</oddHeader>
    <oddFooter>&amp;L&amp;"Arial,Standard"&amp;9&amp;K01+013Seite &amp;P von &amp;N                              Juni 2018&amp;R&amp;"Arial,Fett"&amp;9&amp;K01+013Leitfaden Vergabe technische Beratung &amp; Planung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56">
    <tabColor rgb="FFFF0000"/>
  </sheetPr>
  <dimension ref="A1:K25"/>
  <sheetViews>
    <sheetView showGridLines="0" tabSelected="1" view="pageLayout" zoomScale="85" zoomScaleNormal="85" zoomScaleSheetLayoutView="130" zoomScalePageLayoutView="85" workbookViewId="0">
      <selection activeCell="D49" sqref="D49"/>
    </sheetView>
  </sheetViews>
  <sheetFormatPr baseColWidth="10" defaultColWidth="11.5703125" defaultRowHeight="15" x14ac:dyDescent="0.25"/>
  <cols>
    <col min="1" max="1" width="1.5703125" style="7" customWidth="1"/>
    <col min="2" max="2" width="2.28515625" style="7" customWidth="1"/>
    <col min="3" max="3" width="3.5703125" style="8" customWidth="1"/>
    <col min="4" max="4" width="33.7109375" style="42" customWidth="1"/>
    <col min="5" max="5" width="9.85546875" style="42" customWidth="1"/>
    <col min="6" max="6" width="10.140625" style="42" customWidth="1"/>
    <col min="7" max="7" width="10.140625" style="8" customWidth="1"/>
    <col min="8" max="8" width="18" style="676" customWidth="1"/>
    <col min="9" max="9" width="2.7109375" style="42" customWidth="1"/>
    <col min="10" max="10" width="22.5703125" style="554" customWidth="1"/>
    <col min="11" max="11" width="12.140625" style="554" bestFit="1" customWidth="1"/>
    <col min="12" max="16384" width="11.5703125" style="1"/>
  </cols>
  <sheetData>
    <row r="1" spans="1:11" ht="5.0999999999999996" customHeight="1" x14ac:dyDescent="0.25">
      <c r="A1" s="1"/>
      <c r="C1" s="7"/>
      <c r="D1" s="8"/>
      <c r="H1" s="678"/>
      <c r="I1" s="59"/>
    </row>
    <row r="2" spans="1:11" s="54" customFormat="1" ht="35.1" customHeight="1" x14ac:dyDescent="0.25">
      <c r="A2" s="137"/>
      <c r="C2" s="13"/>
      <c r="D2" s="103"/>
      <c r="G2" s="55"/>
      <c r="H2" s="810"/>
      <c r="I2" s="62"/>
      <c r="J2" s="56"/>
      <c r="K2" s="56"/>
    </row>
    <row r="3" spans="1:11" s="54" customFormat="1" ht="12.95" customHeight="1" x14ac:dyDescent="0.2">
      <c r="A3" s="781"/>
      <c r="B3" s="781"/>
      <c r="C3" s="781"/>
      <c r="D3" s="781" t="s">
        <v>243</v>
      </c>
      <c r="E3" s="781"/>
      <c r="F3" s="781"/>
      <c r="G3" s="781"/>
      <c r="H3" s="679"/>
    </row>
    <row r="4" spans="1:11" s="11" customFormat="1" ht="45" customHeight="1" x14ac:dyDescent="0.2">
      <c r="A4" s="105"/>
      <c r="B4" s="273"/>
      <c r="C4" s="272"/>
      <c r="D4" s="272" t="s">
        <v>231</v>
      </c>
      <c r="E4" s="285"/>
      <c r="F4" s="780" t="s">
        <v>326</v>
      </c>
      <c r="G4" s="780" t="s">
        <v>325</v>
      </c>
      <c r="H4" s="674"/>
    </row>
    <row r="5" spans="1:11" s="11" customFormat="1" ht="6" customHeight="1" x14ac:dyDescent="0.2">
      <c r="F5" s="714"/>
      <c r="G5" s="713"/>
      <c r="H5" s="675"/>
    </row>
    <row r="6" spans="1:11" ht="4.5" customHeight="1" x14ac:dyDescent="0.2">
      <c r="A6" s="576"/>
      <c r="B6" s="6"/>
      <c r="C6" s="6"/>
      <c r="D6" s="1"/>
      <c r="E6" s="164"/>
      <c r="F6" s="813"/>
      <c r="G6" s="813"/>
      <c r="H6" s="639"/>
      <c r="I6" s="50"/>
      <c r="J6" s="1"/>
      <c r="K6" s="1"/>
    </row>
    <row r="7" spans="1:11" ht="14.25" customHeight="1" x14ac:dyDescent="0.2">
      <c r="A7" s="576"/>
      <c r="B7" s="6"/>
      <c r="C7" s="6"/>
      <c r="D7" s="671" t="s">
        <v>189</v>
      </c>
      <c r="E7" s="672"/>
      <c r="F7" s="811"/>
      <c r="G7" s="811"/>
      <c r="H7" s="673"/>
      <c r="I7" s="50"/>
      <c r="J7" s="1"/>
      <c r="K7" s="1"/>
    </row>
    <row r="8" spans="1:11" ht="14.25" customHeight="1" x14ac:dyDescent="0.2">
      <c r="A8" s="576"/>
      <c r="B8" s="6"/>
      <c r="C8" s="6"/>
      <c r="D8" s="586" t="s">
        <v>436</v>
      </c>
      <c r="E8" s="783"/>
      <c r="F8" s="812">
        <f t="shared" ref="F8:F22" si="0">IF(H8="-","-",H8/_1_6)</f>
        <v>1.7078233927188227E-2</v>
      </c>
      <c r="G8" s="812">
        <f t="shared" ref="G8:G22" si="1">IF(H8="-","-",H8/_1_9)</f>
        <v>1.3694887643397612E-2</v>
      </c>
      <c r="H8" s="628">
        <f>_GP2b_Mgt.NEU</f>
        <v>440960</v>
      </c>
      <c r="I8" s="50"/>
      <c r="J8" s="1"/>
      <c r="K8" s="1"/>
    </row>
    <row r="9" spans="1:11" ht="14.25" customHeight="1" x14ac:dyDescent="0.25">
      <c r="D9" s="586" t="s">
        <v>232</v>
      </c>
      <c r="E9" s="783"/>
      <c r="F9" s="812">
        <f t="shared" si="0"/>
        <v>8.6572769945778463E-2</v>
      </c>
      <c r="G9" s="812">
        <f t="shared" si="1"/>
        <v>6.9421953255815627E-2</v>
      </c>
      <c r="H9" s="628">
        <f>_OA</f>
        <v>2235308.92</v>
      </c>
    </row>
    <row r="10" spans="1:11" ht="14.25" customHeight="1" x14ac:dyDescent="0.25">
      <c r="D10" s="586" t="s">
        <v>233</v>
      </c>
      <c r="E10" s="783"/>
      <c r="F10" s="812">
        <f t="shared" si="0"/>
        <v>6.6263869093725796E-3</v>
      </c>
      <c r="G10" s="812">
        <f t="shared" si="1"/>
        <v>5.313642182934954E-3</v>
      </c>
      <c r="H10" s="628">
        <f>_ED</f>
        <v>171093.31</v>
      </c>
    </row>
    <row r="11" spans="1:11" ht="14.25" customHeight="1" x14ac:dyDescent="0.25">
      <c r="D11" s="586" t="s">
        <v>306</v>
      </c>
      <c r="E11" s="783"/>
      <c r="F11" s="812">
        <f t="shared" si="0"/>
        <v>2.7342575522850505E-3</v>
      </c>
      <c r="G11" s="812">
        <f t="shared" si="1"/>
        <v>2.1925774132325734E-3</v>
      </c>
      <c r="H11" s="628">
        <f>_FA</f>
        <v>70598.53</v>
      </c>
    </row>
    <row r="12" spans="1:11" ht="14.25" customHeight="1" x14ac:dyDescent="0.25">
      <c r="D12" s="586" t="s">
        <v>234</v>
      </c>
      <c r="E12" s="783"/>
      <c r="F12" s="812">
        <f t="shared" si="0"/>
        <v>2.53629899302866E-2</v>
      </c>
      <c r="G12" s="812">
        <f t="shared" si="1"/>
        <v>2.0338361617294402E-2</v>
      </c>
      <c r="H12" s="628">
        <f>_TW</f>
        <v>654872.4</v>
      </c>
    </row>
    <row r="13" spans="1:11" ht="14.25" customHeight="1" x14ac:dyDescent="0.25">
      <c r="D13" s="586" t="s">
        <v>235</v>
      </c>
      <c r="E13" s="783"/>
      <c r="F13" s="812">
        <f t="shared" si="0"/>
        <v>1.1498807126258713E-3</v>
      </c>
      <c r="G13" s="812">
        <f t="shared" si="1"/>
        <v>9.2207936897102595E-4</v>
      </c>
      <c r="H13" s="628">
        <f>_BPH_Th</f>
        <v>29689.919999999998</v>
      </c>
    </row>
    <row r="14" spans="1:11" ht="14.25" customHeight="1" x14ac:dyDescent="0.25">
      <c r="D14" s="586" t="s">
        <v>236</v>
      </c>
      <c r="E14" s="783"/>
      <c r="F14" s="812">
        <f t="shared" si="0"/>
        <v>1.0540573199070489E-3</v>
      </c>
      <c r="G14" s="812">
        <f t="shared" si="1"/>
        <v>8.4523942155677399E-4</v>
      </c>
      <c r="H14" s="628">
        <f>_BPH_Schall</f>
        <v>27215.760000000002</v>
      </c>
    </row>
    <row r="15" spans="1:11" ht="14.25" customHeight="1" x14ac:dyDescent="0.25">
      <c r="D15" s="586" t="s">
        <v>237</v>
      </c>
      <c r="E15" s="783"/>
      <c r="F15" s="812">
        <f t="shared" si="0"/>
        <v>2.192744914183212E-4</v>
      </c>
      <c r="G15" s="812">
        <f t="shared" si="1"/>
        <v>1.7583431260163499E-4</v>
      </c>
      <c r="H15" s="628">
        <f>_BPH_akustik</f>
        <v>5661.6673684210537</v>
      </c>
    </row>
    <row r="16" spans="1:11" ht="14.25" customHeight="1" x14ac:dyDescent="0.25">
      <c r="D16" s="586" t="s">
        <v>271</v>
      </c>
      <c r="E16" s="783"/>
      <c r="F16" s="812">
        <f>IF(H16="-","-",H16/_1_6)</f>
        <v>2.2637130645204798E-3</v>
      </c>
      <c r="G16" s="812">
        <f>IF(H16="-","-",H16/_1_9)</f>
        <v>1.8152518701682486E-3</v>
      </c>
      <c r="H16" s="628">
        <f>_Brand_AHO</f>
        <v>58449.071325918783</v>
      </c>
    </row>
    <row r="17" spans="1:11" ht="14.25" customHeight="1" x14ac:dyDescent="0.25">
      <c r="D17" s="586" t="s">
        <v>238</v>
      </c>
      <c r="E17" s="783"/>
      <c r="F17" s="812">
        <f t="shared" si="0"/>
        <v>1.2966826491092175E-2</v>
      </c>
      <c r="G17" s="812">
        <f t="shared" si="1"/>
        <v>1.0397985684236135E-2</v>
      </c>
      <c r="H17" s="628">
        <f>_TA_HKLS</f>
        <v>334803.45999999996</v>
      </c>
    </row>
    <row r="18" spans="1:11" ht="14.25" customHeight="1" x14ac:dyDescent="0.25">
      <c r="D18" s="586" t="s">
        <v>239</v>
      </c>
      <c r="E18" s="783"/>
      <c r="F18" s="812">
        <f t="shared" si="0"/>
        <v>9.750318357862121E-3</v>
      </c>
      <c r="G18" s="812">
        <f t="shared" si="1"/>
        <v>7.8186957133607599E-3</v>
      </c>
      <c r="H18" s="628">
        <f>_TA_ELT</f>
        <v>251753.21999999997</v>
      </c>
    </row>
    <row r="19" spans="1:11" ht="14.25" customHeight="1" x14ac:dyDescent="0.25">
      <c r="D19" s="586" t="s">
        <v>240</v>
      </c>
      <c r="E19" s="783"/>
      <c r="F19" s="812">
        <f t="shared" si="0"/>
        <v>4.6932823392718814E-3</v>
      </c>
      <c r="G19" s="812">
        <f t="shared" si="1"/>
        <v>3.7635023966235632E-3</v>
      </c>
      <c r="H19" s="628">
        <f>_TA_FÖTE</f>
        <v>121180.54999999999</v>
      </c>
    </row>
    <row r="20" spans="1:11" ht="14.25" customHeight="1" x14ac:dyDescent="0.25">
      <c r="D20" s="586" t="s">
        <v>314</v>
      </c>
      <c r="E20" s="783"/>
      <c r="F20" s="812">
        <f t="shared" si="0"/>
        <v>5.4591704105344694E-3</v>
      </c>
      <c r="G20" s="812">
        <f>IF(H20="-","-",H20/_1_9)</f>
        <v>4.3776613973772506E-3</v>
      </c>
      <c r="H20" s="628">
        <f>_TA_MT</f>
        <v>140955.78</v>
      </c>
    </row>
    <row r="21" spans="1:11" ht="14.25" customHeight="1" x14ac:dyDescent="0.25">
      <c r="D21" s="586" t="s">
        <v>241</v>
      </c>
      <c r="E21" s="783"/>
      <c r="F21" s="812">
        <f t="shared" si="0"/>
        <v>2.2083284275755226E-3</v>
      </c>
      <c r="G21" s="812">
        <f t="shared" si="1"/>
        <v>1.7708394102285789E-3</v>
      </c>
      <c r="H21" s="628">
        <f>_TA_Nutzer</f>
        <v>57019.039999999994</v>
      </c>
    </row>
    <row r="22" spans="1:11" ht="14.25" customHeight="1" x14ac:dyDescent="0.25">
      <c r="D22" s="586" t="s">
        <v>242</v>
      </c>
      <c r="E22" s="783"/>
      <c r="F22" s="812">
        <f t="shared" si="0"/>
        <v>4.1176587916343923E-3</v>
      </c>
      <c r="G22" s="812">
        <f t="shared" si="1"/>
        <v>3.3019148669411408E-3</v>
      </c>
      <c r="H22" s="628">
        <f>_TA_MSR</f>
        <v>106317.95000000001</v>
      </c>
    </row>
    <row r="23" spans="1:11" ht="12.75" customHeight="1" x14ac:dyDescent="0.25">
      <c r="J23" s="190"/>
      <c r="K23" s="556"/>
    </row>
    <row r="24" spans="1:11" s="32" customFormat="1" ht="12.95" customHeight="1" x14ac:dyDescent="0.2">
      <c r="A24" s="559"/>
      <c r="B24" s="558"/>
      <c r="C24" s="559"/>
      <c r="D24" s="557" t="s">
        <v>437</v>
      </c>
      <c r="E24" s="129"/>
      <c r="F24" s="129"/>
      <c r="G24" s="129"/>
      <c r="H24" s="677">
        <f>SUM(H6:H22)</f>
        <v>4705879.5786943389</v>
      </c>
      <c r="I24" s="629"/>
      <c r="J24" s="873"/>
    </row>
    <row r="25" spans="1:11" s="32" customFormat="1" ht="12.95" customHeight="1" x14ac:dyDescent="0.2">
      <c r="A25" s="33"/>
      <c r="B25" s="34"/>
      <c r="C25" s="34"/>
      <c r="D25" s="65"/>
      <c r="E25" s="66"/>
      <c r="F25" s="66"/>
      <c r="G25" s="66"/>
      <c r="H25" s="680"/>
      <c r="I25" s="67"/>
      <c r="J25" s="873"/>
      <c r="K25" s="85"/>
    </row>
  </sheetData>
  <mergeCells count="1">
    <mergeCell ref="J24:J25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&amp;L&amp;"Arial,Fett"&amp;10&amp;K00-044Vergabemodelle&amp;R&amp;"Arial,Fett"&amp;10&amp;K00-046Vertrag Generalplanung - Anhang 3</oddHeader>
    <oddFooter>&amp;L&amp;"Arial,Fett"&amp;9&amp;K01+013Leitfaden Vergabe technische Beratung &amp; Planung &amp;R&amp;"Arial,Standard"&amp;9&amp;K01+013 Juni 2018                             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tabColor rgb="FFC00000"/>
  </sheetPr>
  <dimension ref="A1:L92"/>
  <sheetViews>
    <sheetView showGridLines="0" view="pageBreakPreview" topLeftCell="A28" zoomScaleNormal="85" zoomScaleSheetLayoutView="100" zoomScalePageLayoutView="85" workbookViewId="0">
      <selection activeCell="M60" sqref="M60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8" customWidth="1"/>
    <col min="7" max="7" width="2.7109375" style="42" customWidth="1"/>
    <col min="8" max="8" width="11.28515625" style="9" customWidth="1" collapsed="1"/>
    <col min="9" max="9" width="14.7109375" style="10" customWidth="1"/>
    <col min="10" max="10" width="2.7109375" style="59" customWidth="1"/>
    <col min="11" max="12" width="11.5703125" style="554"/>
    <col min="13" max="16384" width="11.5703125" style="1"/>
  </cols>
  <sheetData>
    <row r="1" spans="1:12" ht="5.0999999999999996" customHeight="1" x14ac:dyDescent="0.25"/>
    <row r="2" spans="1:12" s="54" customFormat="1" ht="35.1" customHeight="1" x14ac:dyDescent="0.25">
      <c r="A2" s="688" t="s">
        <v>309</v>
      </c>
      <c r="C2" s="13"/>
      <c r="D2" s="103"/>
      <c r="F2" s="55"/>
      <c r="G2" s="55"/>
      <c r="H2" s="830" t="s">
        <v>257</v>
      </c>
      <c r="I2" s="830"/>
      <c r="J2" s="62"/>
      <c r="K2" s="56"/>
      <c r="L2" s="56"/>
    </row>
    <row r="3" spans="1:12" s="143" customFormat="1" ht="12.95" customHeight="1" x14ac:dyDescent="0.25">
      <c r="A3" s="637" t="s">
        <v>106</v>
      </c>
      <c r="B3" s="637"/>
      <c r="C3" s="637"/>
      <c r="D3" s="637"/>
      <c r="E3" s="637"/>
      <c r="F3" s="637"/>
      <c r="G3" s="637"/>
      <c r="H3" s="637"/>
      <c r="I3" s="637"/>
      <c r="J3" s="147"/>
    </row>
    <row r="4" spans="1:12" s="11" customFormat="1" ht="6" customHeight="1" x14ac:dyDescent="0.25">
      <c r="I4" s="2"/>
      <c r="J4" s="2"/>
    </row>
    <row r="5" spans="1:12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J5" s="45"/>
    </row>
    <row r="6" spans="1:12" s="11" customFormat="1" ht="6" customHeight="1" x14ac:dyDescent="0.25">
      <c r="F6" s="98"/>
      <c r="I6" s="2"/>
      <c r="J6" s="2"/>
    </row>
    <row r="7" spans="1:12" s="12" customFormat="1" ht="12.95" customHeight="1" x14ac:dyDescent="0.2">
      <c r="A7" s="821">
        <v>1</v>
      </c>
      <c r="B7" s="821"/>
      <c r="C7" s="106"/>
      <c r="D7" s="107" t="s">
        <v>0</v>
      </c>
      <c r="E7" s="638">
        <f>F7/_1_9</f>
        <v>2.1739888766278866E-3</v>
      </c>
      <c r="F7" s="389">
        <f>_1</f>
        <v>70000</v>
      </c>
      <c r="G7" s="104"/>
      <c r="H7" s="694">
        <v>0</v>
      </c>
      <c r="I7" s="389">
        <f>F7*H7</f>
        <v>0</v>
      </c>
      <c r="J7" s="50"/>
    </row>
    <row r="8" spans="1:12" ht="2.25" customHeight="1" x14ac:dyDescent="0.25">
      <c r="B8" s="4"/>
      <c r="C8" s="6"/>
      <c r="D8" s="1"/>
      <c r="E8" s="161"/>
      <c r="F8" s="174"/>
      <c r="G8" s="1"/>
      <c r="H8" s="631"/>
      <c r="I8" s="174"/>
      <c r="J8" s="63"/>
    </row>
    <row r="9" spans="1:12" s="12" customFormat="1" ht="12.75" customHeight="1" x14ac:dyDescent="0.2">
      <c r="A9" s="821">
        <v>2</v>
      </c>
      <c r="B9" s="821"/>
      <c r="C9" s="106"/>
      <c r="D9" s="107" t="s">
        <v>1</v>
      </c>
      <c r="E9" s="638">
        <f>F9/_1_9</f>
        <v>0.27951285556644256</v>
      </c>
      <c r="F9" s="389">
        <f>_2</f>
        <v>9000000</v>
      </c>
      <c r="G9" s="104"/>
      <c r="H9" s="694">
        <v>1</v>
      </c>
      <c r="I9" s="389">
        <f>F9*H9</f>
        <v>9000000</v>
      </c>
      <c r="J9" s="50"/>
    </row>
    <row r="10" spans="1:12" ht="2.25" customHeight="1" x14ac:dyDescent="0.25">
      <c r="B10" s="13"/>
      <c r="C10" s="13"/>
      <c r="D10" s="14"/>
      <c r="E10" s="161"/>
      <c r="F10" s="175"/>
      <c r="G10" s="1"/>
      <c r="H10" s="631"/>
      <c r="I10" s="175"/>
      <c r="J10" s="50"/>
    </row>
    <row r="11" spans="1:12" s="11" customFormat="1" ht="12.95" customHeight="1" x14ac:dyDescent="0.2">
      <c r="A11" s="821">
        <v>3</v>
      </c>
      <c r="B11" s="821"/>
      <c r="C11" s="106"/>
      <c r="D11" s="107" t="s">
        <v>7</v>
      </c>
      <c r="E11" s="638">
        <f>F11/_1_9</f>
        <v>0.25156157000979829</v>
      </c>
      <c r="F11" s="389">
        <f>_3</f>
        <v>8100000</v>
      </c>
      <c r="G11" s="104"/>
      <c r="H11" s="694">
        <v>1</v>
      </c>
      <c r="I11" s="389">
        <f>F11*H11</f>
        <v>8100000</v>
      </c>
      <c r="J11" s="50"/>
    </row>
    <row r="12" spans="1:12" ht="2.25" customHeight="1" x14ac:dyDescent="0.25">
      <c r="B12" s="13"/>
      <c r="C12" s="13"/>
      <c r="D12" s="14"/>
      <c r="E12" s="161"/>
      <c r="F12" s="158"/>
      <c r="G12" s="1"/>
      <c r="H12" s="630"/>
      <c r="I12" s="158"/>
      <c r="J12" s="49"/>
    </row>
    <row r="13" spans="1:12" s="11" customFormat="1" ht="12.75" customHeight="1" x14ac:dyDescent="0.2">
      <c r="A13" s="821">
        <v>4</v>
      </c>
      <c r="B13" s="821"/>
      <c r="C13" s="106"/>
      <c r="D13" s="107" t="s">
        <v>2</v>
      </c>
      <c r="E13" s="638">
        <f>F13/_1_9</f>
        <v>0.20187039568687518</v>
      </c>
      <c r="F13" s="389">
        <f>_4</f>
        <v>6500000</v>
      </c>
      <c r="G13" s="104"/>
      <c r="H13" s="694">
        <v>1</v>
      </c>
      <c r="I13" s="389">
        <f>F13*H13</f>
        <v>6500000</v>
      </c>
      <c r="J13" s="50"/>
    </row>
    <row r="14" spans="1:12" ht="2.25" customHeight="1" x14ac:dyDescent="0.25">
      <c r="B14" s="4"/>
      <c r="C14" s="6"/>
      <c r="D14" s="1"/>
      <c r="E14" s="161"/>
      <c r="F14" s="158"/>
      <c r="G14" s="1"/>
      <c r="H14" s="632"/>
      <c r="I14" s="158"/>
      <c r="J14" s="48"/>
    </row>
    <row r="15" spans="1:12" s="12" customFormat="1" ht="12.95" customHeight="1" x14ac:dyDescent="0.2">
      <c r="A15" s="821">
        <v>5</v>
      </c>
      <c r="B15" s="821"/>
      <c r="C15" s="106"/>
      <c r="D15" s="107" t="s">
        <v>9</v>
      </c>
      <c r="E15" s="638">
        <f>F15/_1_9</f>
        <v>5.1244023520514471E-2</v>
      </c>
      <c r="F15" s="389">
        <f>_5</f>
        <v>1650000</v>
      </c>
      <c r="G15" s="104"/>
      <c r="H15" s="694">
        <v>1</v>
      </c>
      <c r="I15" s="389">
        <f>H15*F15</f>
        <v>1650000</v>
      </c>
      <c r="J15" s="50"/>
    </row>
    <row r="16" spans="1:12" ht="2.25" customHeight="1" x14ac:dyDescent="0.25">
      <c r="B16" s="13"/>
      <c r="C16" s="13"/>
      <c r="D16" s="14"/>
      <c r="E16" s="161"/>
      <c r="F16" s="175"/>
      <c r="G16" s="1"/>
      <c r="H16" s="631"/>
      <c r="I16" s="175"/>
      <c r="J16" s="50"/>
    </row>
    <row r="17" spans="1:12" s="11" customFormat="1" ht="12.75" customHeight="1" x14ac:dyDescent="0.2">
      <c r="A17" s="821">
        <v>6</v>
      </c>
      <c r="B17" s="821"/>
      <c r="C17" s="106"/>
      <c r="D17" s="107" t="s">
        <v>3</v>
      </c>
      <c r="E17" s="638">
        <f>F17/_1_9</f>
        <v>1.5528491975913475E-2</v>
      </c>
      <c r="F17" s="389">
        <f>_6</f>
        <v>500000</v>
      </c>
      <c r="G17" s="104"/>
      <c r="H17" s="694">
        <v>1</v>
      </c>
      <c r="I17" s="389">
        <f>F17*H17</f>
        <v>500000</v>
      </c>
      <c r="J17" s="50"/>
    </row>
    <row r="18" spans="1:12" ht="2.25" customHeight="1" x14ac:dyDescent="0.25">
      <c r="B18" s="17"/>
      <c r="C18" s="5"/>
      <c r="D18" s="1"/>
      <c r="E18" s="164"/>
      <c r="F18" s="158"/>
      <c r="G18" s="1"/>
      <c r="H18" s="632"/>
      <c r="I18" s="158"/>
      <c r="J18" s="50"/>
      <c r="K18" s="555"/>
      <c r="L18" s="555"/>
    </row>
    <row r="19" spans="1:12" s="12" customFormat="1" ht="12.95" customHeight="1" x14ac:dyDescent="0.2">
      <c r="A19" s="821">
        <v>7</v>
      </c>
      <c r="B19" s="821"/>
      <c r="C19" s="106"/>
      <c r="D19" s="107" t="s">
        <v>166</v>
      </c>
      <c r="E19" s="638">
        <f>F19/_1_9</f>
        <v>0.14729944861863917</v>
      </c>
      <c r="F19" s="389">
        <f>_7</f>
        <v>4742876.7985686567</v>
      </c>
      <c r="G19" s="104"/>
      <c r="H19" s="694">
        <v>0</v>
      </c>
      <c r="I19" s="389">
        <f>F19*H19</f>
        <v>0</v>
      </c>
      <c r="J19" s="50"/>
    </row>
    <row r="20" spans="1:12" ht="2.25" customHeight="1" x14ac:dyDescent="0.25">
      <c r="B20" s="13"/>
      <c r="C20" s="13"/>
      <c r="D20" s="14"/>
      <c r="E20" s="164"/>
      <c r="F20" s="175"/>
      <c r="G20" s="1"/>
      <c r="H20" s="631"/>
      <c r="I20" s="175"/>
      <c r="J20" s="50"/>
      <c r="K20" s="555"/>
    </row>
    <row r="21" spans="1:12" s="12" customFormat="1" ht="12.95" customHeight="1" x14ac:dyDescent="0.2">
      <c r="A21" s="821">
        <v>8</v>
      </c>
      <c r="B21" s="821"/>
      <c r="C21" s="106"/>
      <c r="D21" s="107" t="s">
        <v>165</v>
      </c>
      <c r="E21" s="638">
        <f>F21/_1_9</f>
        <v>1.1180514222657702E-3</v>
      </c>
      <c r="F21" s="389">
        <f>_8</f>
        <v>36000</v>
      </c>
      <c r="G21" s="104"/>
      <c r="H21" s="694">
        <v>0</v>
      </c>
      <c r="I21" s="389">
        <f>F21*H21</f>
        <v>0</v>
      </c>
      <c r="J21" s="50"/>
    </row>
    <row r="22" spans="1:12" ht="2.25" customHeight="1" x14ac:dyDescent="0.25">
      <c r="B22" s="13"/>
      <c r="C22" s="13"/>
      <c r="D22" s="14"/>
      <c r="E22" s="164"/>
      <c r="F22" s="158"/>
      <c r="G22" s="1"/>
      <c r="H22" s="630"/>
      <c r="I22" s="158"/>
      <c r="J22" s="49"/>
      <c r="K22" s="555"/>
    </row>
    <row r="23" spans="1:12" s="12" customFormat="1" ht="12.95" customHeight="1" x14ac:dyDescent="0.2">
      <c r="A23" s="821">
        <v>9</v>
      </c>
      <c r="B23" s="821"/>
      <c r="C23" s="106"/>
      <c r="D23" s="107" t="s">
        <v>10</v>
      </c>
      <c r="E23" s="638">
        <f>F23/_1_9</f>
        <v>4.9691174322923123E-2</v>
      </c>
      <c r="F23" s="389">
        <f>_9</f>
        <v>1600000</v>
      </c>
      <c r="G23" s="104"/>
      <c r="H23" s="694">
        <v>0.4</v>
      </c>
      <c r="I23" s="389">
        <f>F23*H23</f>
        <v>640000</v>
      </c>
      <c r="J23" s="50"/>
    </row>
    <row r="24" spans="1:12" ht="12" customHeight="1" x14ac:dyDescent="0.25">
      <c r="B24" s="17"/>
      <c r="C24" s="5"/>
      <c r="D24" s="1"/>
      <c r="E24" s="47"/>
      <c r="F24" s="1"/>
      <c r="G24" s="1"/>
      <c r="H24" s="1"/>
      <c r="I24" s="1"/>
      <c r="J24" s="1"/>
      <c r="K24" s="555"/>
    </row>
    <row r="25" spans="1:12" s="141" customFormat="1" ht="12.95" customHeight="1" x14ac:dyDescent="0.25">
      <c r="A25" s="538" t="s">
        <v>12</v>
      </c>
      <c r="B25" s="539"/>
      <c r="C25" s="539"/>
      <c r="D25" s="539"/>
      <c r="E25" s="148">
        <f>SUM(E7:E23)</f>
        <v>0.99999999999999989</v>
      </c>
      <c r="F25" s="146">
        <f>SUM(F7+F9+F11+F13+F15+F17+F19+F21+F23)</f>
        <v>32198876.798568659</v>
      </c>
      <c r="G25" s="149"/>
      <c r="H25" s="191"/>
      <c r="I25" s="3"/>
      <c r="J25" s="3"/>
      <c r="K25" s="150"/>
      <c r="L25" s="150"/>
    </row>
    <row r="26" spans="1:12" ht="4.5" customHeight="1" x14ac:dyDescent="0.25">
      <c r="B26" s="13"/>
      <c r="C26" s="13"/>
      <c r="D26" s="14"/>
      <c r="E26" s="47"/>
      <c r="F26" s="14"/>
      <c r="G26" s="1"/>
      <c r="H26" s="19"/>
      <c r="I26" s="15"/>
      <c r="J26" s="18"/>
      <c r="K26" s="555"/>
    </row>
    <row r="27" spans="1:12" s="143" customFormat="1" ht="12.95" customHeight="1" x14ac:dyDescent="0.25">
      <c r="A27" s="321" t="s">
        <v>32</v>
      </c>
      <c r="B27" s="539"/>
      <c r="C27" s="539"/>
      <c r="D27" s="539"/>
      <c r="E27" s="539"/>
      <c r="F27" s="539"/>
      <c r="G27" s="539"/>
      <c r="H27" s="320"/>
      <c r="I27" s="146">
        <f>SUM(I7:I23)</f>
        <v>26390000</v>
      </c>
      <c r="J27" s="147"/>
    </row>
    <row r="28" spans="1:12" ht="13.5" customHeight="1" x14ac:dyDescent="0.25">
      <c r="A28" s="193"/>
      <c r="B28" s="193"/>
      <c r="C28" s="193"/>
      <c r="D28" s="193"/>
      <c r="E28" s="194"/>
      <c r="F28" s="193"/>
      <c r="G28" s="194"/>
      <c r="I28" s="308"/>
    </row>
    <row r="29" spans="1:12" s="143" customFormat="1" ht="12.95" customHeight="1" x14ac:dyDescent="0.25">
      <c r="A29" s="637" t="s">
        <v>83</v>
      </c>
      <c r="B29" s="637"/>
      <c r="C29" s="637"/>
      <c r="D29" s="637"/>
      <c r="E29" s="637"/>
      <c r="F29" s="637"/>
      <c r="G29" s="637"/>
      <c r="H29" s="637"/>
      <c r="I29" s="637"/>
      <c r="J29" s="147"/>
    </row>
    <row r="30" spans="1:12" s="11" customFormat="1" ht="4.5" customHeight="1" x14ac:dyDescent="0.25">
      <c r="I30" s="2"/>
      <c r="J30" s="2"/>
    </row>
    <row r="31" spans="1:12" ht="12.75" customHeight="1" x14ac:dyDescent="0.25">
      <c r="A31" s="25"/>
      <c r="B31" s="25"/>
      <c r="C31" s="25"/>
      <c r="D31" s="1"/>
      <c r="E31" s="1"/>
      <c r="F31" s="197" t="s">
        <v>5</v>
      </c>
      <c r="G31" s="822" t="s">
        <v>4</v>
      </c>
      <c r="H31" s="822"/>
      <c r="I31" s="309"/>
      <c r="J31" s="58"/>
    </row>
    <row r="32" spans="1:12" ht="12.75" customHeight="1" x14ac:dyDescent="0.25">
      <c r="B32" s="26" t="s">
        <v>46</v>
      </c>
      <c r="C32" s="60"/>
      <c r="D32" s="51"/>
      <c r="E32" s="51"/>
      <c r="F32" s="695" t="e">
        <f>#REF!</f>
        <v>#REF!</v>
      </c>
      <c r="G32" s="823" t="s">
        <v>33</v>
      </c>
      <c r="H32" s="823"/>
      <c r="I32" s="309"/>
      <c r="J32" s="58"/>
    </row>
    <row r="33" spans="1:12" ht="12.75" customHeight="1" x14ac:dyDescent="0.25">
      <c r="B33" s="27" t="s">
        <v>47</v>
      </c>
      <c r="C33" s="61"/>
      <c r="D33" s="52"/>
      <c r="E33" s="52"/>
      <c r="F33" s="695" t="e">
        <f>#REF!</f>
        <v>#REF!</v>
      </c>
      <c r="G33" s="824" t="s">
        <v>6</v>
      </c>
      <c r="H33" s="824"/>
      <c r="I33" s="309"/>
      <c r="J33" s="58"/>
    </row>
    <row r="34" spans="1:12" ht="12.75" customHeight="1" x14ac:dyDescent="0.25">
      <c r="B34" s="27" t="s">
        <v>48</v>
      </c>
      <c r="C34" s="61"/>
      <c r="D34" s="52"/>
      <c r="E34" s="52"/>
      <c r="F34" s="695">
        <v>1</v>
      </c>
      <c r="G34" s="824" t="s">
        <v>6</v>
      </c>
      <c r="H34" s="824"/>
      <c r="I34" s="309"/>
      <c r="J34" s="58"/>
    </row>
    <row r="35" spans="1:12" ht="12.75" customHeight="1" x14ac:dyDescent="0.25">
      <c r="B35" s="27" t="s">
        <v>49</v>
      </c>
      <c r="C35" s="52"/>
      <c r="D35" s="52"/>
      <c r="E35" s="52"/>
      <c r="F35" s="695">
        <v>2</v>
      </c>
      <c r="G35" s="824" t="s">
        <v>6</v>
      </c>
      <c r="H35" s="824"/>
      <c r="I35" s="309"/>
      <c r="J35" s="58"/>
    </row>
    <row r="36" spans="1:12" ht="4.5" customHeight="1" x14ac:dyDescent="0.25">
      <c r="A36" s="40"/>
      <c r="B36" s="40"/>
      <c r="C36" s="40"/>
      <c r="D36" s="1"/>
      <c r="E36" s="1"/>
      <c r="F36" s="201"/>
      <c r="G36" s="824"/>
      <c r="H36" s="824"/>
      <c r="I36" s="309"/>
      <c r="J36" s="58"/>
      <c r="K36" s="555"/>
      <c r="L36" s="555"/>
    </row>
    <row r="37" spans="1:12" ht="12.75" customHeight="1" x14ac:dyDescent="0.25">
      <c r="B37" s="27" t="s">
        <v>141</v>
      </c>
      <c r="C37" s="61"/>
      <c r="D37" s="52"/>
      <c r="E37" s="52"/>
      <c r="F37" s="696"/>
      <c r="G37" s="824" t="s">
        <v>6</v>
      </c>
      <c r="H37" s="824"/>
      <c r="I37" s="309"/>
      <c r="J37" s="58"/>
    </row>
    <row r="38" spans="1:12" ht="12.75" customHeight="1" x14ac:dyDescent="0.25">
      <c r="B38" s="27" t="s">
        <v>142</v>
      </c>
      <c r="C38" s="61"/>
      <c r="D38" s="52"/>
      <c r="E38" s="52"/>
      <c r="F38" s="696"/>
      <c r="G38" s="824" t="s">
        <v>57</v>
      </c>
      <c r="H38" s="824"/>
      <c r="I38" s="309"/>
      <c r="J38" s="58"/>
    </row>
    <row r="39" spans="1:12" ht="12.75" customHeight="1" x14ac:dyDescent="0.25">
      <c r="B39" s="27" t="s">
        <v>143</v>
      </c>
      <c r="C39" s="61"/>
      <c r="D39" s="52"/>
      <c r="E39" s="52"/>
      <c r="F39" s="696"/>
      <c r="G39" s="824" t="s">
        <v>57</v>
      </c>
      <c r="H39" s="824"/>
      <c r="I39" s="309"/>
      <c r="J39" s="58"/>
    </row>
    <row r="40" spans="1:12" ht="12.75" customHeight="1" x14ac:dyDescent="0.25">
      <c r="B40" s="27" t="s">
        <v>144</v>
      </c>
      <c r="C40" s="61"/>
      <c r="D40" s="52"/>
      <c r="E40" s="52"/>
      <c r="F40" s="696"/>
      <c r="G40" s="824" t="s">
        <v>57</v>
      </c>
      <c r="H40" s="824"/>
      <c r="I40" s="309"/>
      <c r="J40" s="58"/>
    </row>
    <row r="41" spans="1:12" ht="12.75" customHeight="1" x14ac:dyDescent="0.25">
      <c r="B41" s="27" t="s">
        <v>145</v>
      </c>
      <c r="C41" s="61"/>
      <c r="D41" s="52"/>
      <c r="E41" s="52"/>
      <c r="F41" s="696"/>
      <c r="G41" s="824" t="s">
        <v>148</v>
      </c>
      <c r="H41" s="824"/>
      <c r="I41" s="309"/>
      <c r="J41" s="58"/>
    </row>
    <row r="42" spans="1:12" ht="12.75" customHeight="1" x14ac:dyDescent="0.25">
      <c r="B42" s="27" t="s">
        <v>146</v>
      </c>
      <c r="C42" s="61"/>
      <c r="D42" s="52"/>
      <c r="E42" s="52"/>
      <c r="F42" s="696"/>
      <c r="G42" s="824" t="s">
        <v>149</v>
      </c>
      <c r="H42" s="824"/>
      <c r="I42" s="309"/>
      <c r="J42" s="58"/>
    </row>
    <row r="43" spans="1:12" ht="12.75" customHeight="1" x14ac:dyDescent="0.25">
      <c r="B43" s="27" t="s">
        <v>147</v>
      </c>
      <c r="C43" s="61"/>
      <c r="D43" s="52"/>
      <c r="E43" s="52"/>
      <c r="F43" s="696"/>
      <c r="G43" s="824" t="s">
        <v>6</v>
      </c>
      <c r="H43" s="824"/>
      <c r="I43" s="309"/>
      <c r="J43" s="58"/>
    </row>
    <row r="44" spans="1:12" ht="4.5" customHeight="1" x14ac:dyDescent="0.25">
      <c r="A44" s="40"/>
      <c r="B44" s="40"/>
      <c r="C44" s="40"/>
      <c r="D44" s="1"/>
      <c r="E44" s="1"/>
      <c r="F44" s="201"/>
      <c r="G44" s="57"/>
      <c r="I44" s="309"/>
      <c r="J44" s="58"/>
      <c r="K44" s="555"/>
      <c r="L44" s="555"/>
    </row>
    <row r="45" spans="1:12" ht="12.75" customHeight="1" x14ac:dyDescent="0.25">
      <c r="B45" s="25" t="s">
        <v>45</v>
      </c>
      <c r="C45" s="1"/>
      <c r="D45" s="202"/>
      <c r="E45" s="203"/>
      <c r="F45" s="204" t="e">
        <f>SUM(F32:F44)</f>
        <v>#REF!</v>
      </c>
      <c r="G45" s="203"/>
      <c r="I45" s="309"/>
      <c r="J45" s="1"/>
    </row>
    <row r="46" spans="1:12" ht="12.95" customHeight="1" x14ac:dyDescent="0.25">
      <c r="B46" s="40"/>
      <c r="C46" s="1"/>
      <c r="D46" s="203"/>
      <c r="E46" s="203"/>
      <c r="F46" s="203"/>
      <c r="G46" s="203"/>
      <c r="H46" s="53"/>
      <c r="I46" s="309"/>
      <c r="J46" s="1"/>
      <c r="K46" s="555"/>
      <c r="L46" s="555"/>
    </row>
    <row r="47" spans="1:12" s="143" customFormat="1" ht="12.95" customHeight="1" x14ac:dyDescent="0.25">
      <c r="A47" s="637" t="s">
        <v>171</v>
      </c>
      <c r="B47" s="637"/>
      <c r="C47" s="637"/>
      <c r="D47" s="637"/>
      <c r="E47" s="637"/>
      <c r="F47" s="637"/>
      <c r="G47" s="637"/>
      <c r="H47" s="637"/>
      <c r="I47" s="637"/>
      <c r="J47" s="147"/>
    </row>
    <row r="48" spans="1:12" s="11" customFormat="1" ht="4.5" customHeight="1" x14ac:dyDescent="0.25">
      <c r="I48" s="2"/>
      <c r="J48" s="2"/>
    </row>
    <row r="49" spans="1:12" ht="14.25" customHeight="1" x14ac:dyDescent="0.25">
      <c r="A49" s="206" t="s">
        <v>11</v>
      </c>
      <c r="B49" s="206"/>
      <c r="C49" s="1"/>
      <c r="F49" s="230">
        <f>I27</f>
        <v>26390000</v>
      </c>
      <c r="I49" s="1"/>
      <c r="J49" s="18"/>
    </row>
    <row r="50" spans="1:12" ht="14.25" customHeight="1" x14ac:dyDescent="0.25">
      <c r="A50" s="28" t="s">
        <v>86</v>
      </c>
      <c r="B50" s="28"/>
      <c r="C50" s="28"/>
      <c r="D50" s="1"/>
      <c r="E50" s="1"/>
      <c r="F50" s="131" t="e">
        <f>0.0214*F45+0.9143</f>
        <v>#REF!</v>
      </c>
      <c r="G50" s="155"/>
      <c r="I50" s="550"/>
      <c r="J50" s="18"/>
    </row>
    <row r="51" spans="1:12" ht="14.25" customHeight="1" x14ac:dyDescent="0.25">
      <c r="A51" s="28" t="s">
        <v>265</v>
      </c>
      <c r="B51" s="28"/>
      <c r="C51" s="28"/>
      <c r="D51" s="1"/>
      <c r="E51" s="1"/>
      <c r="F51" s="439" t="e">
        <f>ROUND(IF(F49=0,"-",(-0.0466*LN(F49)+1.213)*F50/100),4)</f>
        <v>#REF!</v>
      </c>
      <c r="G51" s="449" t="s">
        <v>107</v>
      </c>
      <c r="I51" s="550"/>
      <c r="J51" s="18"/>
    </row>
    <row r="52" spans="1:12" ht="14.25" customHeight="1" x14ac:dyDescent="0.3">
      <c r="A52" s="311" t="s">
        <v>259</v>
      </c>
      <c r="B52" s="25"/>
      <c r="C52" s="25"/>
      <c r="D52" s="312"/>
      <c r="E52" s="208"/>
      <c r="F52" s="319" t="e">
        <f>IF(F49=0,"-",ROUND(F49*F51,2))</f>
        <v>#REF!</v>
      </c>
      <c r="G52" s="551" t="s">
        <v>169</v>
      </c>
      <c r="H52" s="19"/>
      <c r="I52" s="15"/>
      <c r="J52" s="18"/>
      <c r="K52" s="43"/>
      <c r="L52" s="43"/>
    </row>
    <row r="53" spans="1:12" ht="12.75" customHeight="1" x14ac:dyDescent="0.25">
      <c r="A53" s="39"/>
      <c r="B53" s="40"/>
      <c r="C53" s="40"/>
      <c r="D53" s="208"/>
      <c r="G53" s="209"/>
      <c r="H53" s="57"/>
      <c r="I53" s="41"/>
      <c r="J53" s="18"/>
      <c r="K53" s="555"/>
      <c r="L53" s="555"/>
    </row>
    <row r="54" spans="1:12" s="143" customFormat="1" ht="12.95" customHeight="1" x14ac:dyDescent="0.25">
      <c r="A54" s="637" t="s">
        <v>170</v>
      </c>
      <c r="B54" s="637"/>
      <c r="C54" s="637"/>
      <c r="D54" s="637"/>
      <c r="E54" s="637"/>
      <c r="F54" s="637"/>
      <c r="G54" s="637"/>
      <c r="H54" s="637"/>
      <c r="I54" s="637"/>
      <c r="J54" s="147"/>
    </row>
    <row r="55" spans="1:12" s="11" customFormat="1" ht="4.5" customHeight="1" x14ac:dyDescent="0.25">
      <c r="I55" s="2"/>
      <c r="J55" s="2"/>
    </row>
    <row r="56" spans="1:12" ht="12.75" customHeight="1" x14ac:dyDescent="0.25">
      <c r="A56" s="210" t="s">
        <v>35</v>
      </c>
      <c r="B56" s="210"/>
      <c r="C56" s="420"/>
      <c r="D56" s="1"/>
      <c r="E56" s="287">
        <v>0.2</v>
      </c>
      <c r="F56" s="697">
        <v>0.2</v>
      </c>
      <c r="G56" s="1"/>
      <c r="H56" s="212">
        <v>1</v>
      </c>
      <c r="I56" s="594" t="e">
        <f>IF($F$49=0,"-",$F$52*F56)</f>
        <v>#REF!</v>
      </c>
    </row>
    <row r="57" spans="1:12" ht="12.75" customHeight="1" x14ac:dyDescent="0.25">
      <c r="A57" s="210" t="s">
        <v>36</v>
      </c>
      <c r="B57" s="210"/>
      <c r="C57" s="420"/>
      <c r="D57" s="1"/>
      <c r="E57" s="288">
        <v>0.06</v>
      </c>
      <c r="F57" s="697">
        <v>0.06</v>
      </c>
      <c r="G57" s="1"/>
      <c r="H57" s="212">
        <v>2</v>
      </c>
      <c r="I57" s="594" t="e">
        <f t="shared" ref="I57:I68" si="0">IF($F$49=0,"-",$F$52*F57)</f>
        <v>#REF!</v>
      </c>
    </row>
    <row r="58" spans="1:12" ht="12.75" customHeight="1" x14ac:dyDescent="0.25">
      <c r="A58" s="210" t="s">
        <v>37</v>
      </c>
      <c r="B58" s="210"/>
      <c r="C58" s="420"/>
      <c r="D58" s="1"/>
      <c r="E58" s="288">
        <v>0.08</v>
      </c>
      <c r="F58" s="697">
        <v>0.08</v>
      </c>
      <c r="G58" s="1"/>
      <c r="H58" s="212">
        <v>3</v>
      </c>
      <c r="I58" s="594" t="e">
        <f t="shared" si="0"/>
        <v>#REF!</v>
      </c>
    </row>
    <row r="59" spans="1:12" ht="12.75" customHeight="1" x14ac:dyDescent="0.25">
      <c r="A59" s="210" t="s">
        <v>38</v>
      </c>
      <c r="B59" s="210"/>
      <c r="C59" s="420"/>
      <c r="D59" s="1"/>
      <c r="E59" s="288">
        <v>0.03</v>
      </c>
      <c r="F59" s="697">
        <v>0.03</v>
      </c>
      <c r="G59" s="1"/>
      <c r="H59" s="212">
        <v>4</v>
      </c>
      <c r="I59" s="594" t="e">
        <f t="shared" si="0"/>
        <v>#REF!</v>
      </c>
    </row>
    <row r="60" spans="1:12" ht="12.75" customHeight="1" x14ac:dyDescent="0.25">
      <c r="A60" s="210" t="s">
        <v>39</v>
      </c>
      <c r="B60" s="210"/>
      <c r="C60" s="420"/>
      <c r="D60" s="1"/>
      <c r="E60" s="288">
        <v>0.17</v>
      </c>
      <c r="F60" s="697">
        <v>0.17</v>
      </c>
      <c r="G60" s="1"/>
      <c r="H60" s="212">
        <v>5</v>
      </c>
      <c r="I60" s="594" t="e">
        <f t="shared" si="0"/>
        <v>#REF!</v>
      </c>
    </row>
    <row r="61" spans="1:12" ht="12.75" customHeight="1" x14ac:dyDescent="0.25">
      <c r="A61" s="210" t="s">
        <v>40</v>
      </c>
      <c r="B61" s="210"/>
      <c r="C61" s="420"/>
      <c r="D61" s="1"/>
      <c r="E61" s="288">
        <v>0.08</v>
      </c>
      <c r="F61" s="697">
        <v>0.08</v>
      </c>
      <c r="G61" s="1"/>
      <c r="H61" s="212">
        <v>6</v>
      </c>
      <c r="I61" s="594" t="e">
        <f t="shared" si="0"/>
        <v>#REF!</v>
      </c>
    </row>
    <row r="62" spans="1:12" ht="12.75" customHeight="1" x14ac:dyDescent="0.25">
      <c r="A62" s="210" t="s">
        <v>41</v>
      </c>
      <c r="B62" s="210"/>
      <c r="C62" s="420"/>
      <c r="D62" s="1"/>
      <c r="E62" s="288">
        <v>0.02</v>
      </c>
      <c r="F62" s="697">
        <v>0.02</v>
      </c>
      <c r="G62" s="1"/>
      <c r="H62" s="212"/>
      <c r="I62" s="594" t="e">
        <f t="shared" si="0"/>
        <v>#REF!</v>
      </c>
      <c r="K62" s="556"/>
      <c r="L62" s="556"/>
    </row>
    <row r="63" spans="1:12" ht="12.75" customHeight="1" x14ac:dyDescent="0.25">
      <c r="A63" s="210" t="s">
        <v>42</v>
      </c>
      <c r="B63" s="210"/>
      <c r="C63" s="420"/>
      <c r="D63" s="1"/>
      <c r="E63" s="288">
        <v>0.03</v>
      </c>
      <c r="F63" s="697">
        <v>0.03</v>
      </c>
      <c r="G63" s="1"/>
      <c r="H63" s="212">
        <v>7</v>
      </c>
      <c r="I63" s="594" t="e">
        <f t="shared" si="0"/>
        <v>#REF!</v>
      </c>
      <c r="K63" s="556"/>
      <c r="L63" s="556"/>
    </row>
    <row r="64" spans="1:12" ht="12.75" customHeight="1" x14ac:dyDescent="0.25">
      <c r="A64" s="193" t="s">
        <v>43</v>
      </c>
      <c r="B64" s="193"/>
      <c r="C64" s="420"/>
      <c r="D64" s="1"/>
      <c r="E64" s="288">
        <v>0.3</v>
      </c>
      <c r="F64" s="697">
        <v>0.3</v>
      </c>
      <c r="G64" s="1"/>
      <c r="H64" s="212">
        <v>8</v>
      </c>
      <c r="I64" s="594" t="e">
        <f t="shared" si="0"/>
        <v>#REF!</v>
      </c>
      <c r="K64" s="556"/>
      <c r="L64" s="556"/>
    </row>
    <row r="65" spans="1:12" ht="12.75" customHeight="1" x14ac:dyDescent="0.25">
      <c r="A65" s="294" t="s">
        <v>44</v>
      </c>
      <c r="B65" s="294"/>
      <c r="C65" s="295"/>
      <c r="D65" s="1"/>
      <c r="E65" s="292">
        <v>0.03</v>
      </c>
      <c r="F65" s="697">
        <v>0.03</v>
      </c>
      <c r="G65" s="1"/>
      <c r="H65" s="296">
        <v>9</v>
      </c>
      <c r="I65" s="594" t="e">
        <f t="shared" si="0"/>
        <v>#REF!</v>
      </c>
      <c r="K65" s="556"/>
      <c r="L65" s="556"/>
    </row>
    <row r="66" spans="1:12" s="303" customFormat="1" ht="12.75" customHeight="1" x14ac:dyDescent="0.25">
      <c r="A66" s="580" t="s">
        <v>164</v>
      </c>
      <c r="B66" s="580"/>
      <c r="C66" s="581"/>
      <c r="E66" s="582"/>
      <c r="F66" s="698">
        <v>0</v>
      </c>
      <c r="H66" s="583"/>
      <c r="I66" s="603" t="e">
        <f>IF($F$49=0,"-",$F$52*F66)</f>
        <v>#REF!</v>
      </c>
      <c r="J66" s="301"/>
      <c r="K66" s="302"/>
      <c r="L66" s="302"/>
    </row>
    <row r="67" spans="1:12" s="303" customFormat="1" ht="12.75" customHeight="1" x14ac:dyDescent="0.25">
      <c r="A67" s="580" t="s">
        <v>164</v>
      </c>
      <c r="B67" s="580"/>
      <c r="C67" s="581"/>
      <c r="E67" s="582"/>
      <c r="F67" s="698">
        <v>0</v>
      </c>
      <c r="H67" s="583"/>
      <c r="I67" s="603" t="e">
        <f>IF($F$49=0,"-",$F$52*F67)</f>
        <v>#REF!</v>
      </c>
      <c r="J67" s="301"/>
      <c r="K67" s="302"/>
      <c r="L67" s="302"/>
    </row>
    <row r="68" spans="1:12" s="303" customFormat="1" ht="12.75" customHeight="1" x14ac:dyDescent="0.25">
      <c r="A68" s="297" t="s">
        <v>164</v>
      </c>
      <c r="B68" s="297"/>
      <c r="C68" s="298"/>
      <c r="D68" s="299"/>
      <c r="E68" s="300"/>
      <c r="F68" s="699">
        <v>0</v>
      </c>
      <c r="G68" s="299"/>
      <c r="H68" s="314"/>
      <c r="I68" s="596" t="e">
        <f t="shared" si="0"/>
        <v>#REF!</v>
      </c>
      <c r="J68" s="301"/>
      <c r="K68" s="302"/>
      <c r="L68" s="302"/>
    </row>
    <row r="69" spans="1:12" ht="12.75" customHeight="1" x14ac:dyDescent="0.25">
      <c r="A69" s="213" t="s">
        <v>190</v>
      </c>
      <c r="B69" s="193"/>
      <c r="C69" s="28"/>
      <c r="D69" s="1"/>
      <c r="E69" s="384">
        <f>SUM(E56:E68)</f>
        <v>1</v>
      </c>
      <c r="F69" s="214">
        <f>SUM(F56:F68)</f>
        <v>1</v>
      </c>
      <c r="H69" s="214"/>
      <c r="I69" s="594" t="e">
        <f>SUM(I56:I68)</f>
        <v>#REF!</v>
      </c>
      <c r="K69" s="556"/>
      <c r="L69" s="556"/>
    </row>
    <row r="70" spans="1:12" ht="12.75" customHeight="1" x14ac:dyDescent="0.25">
      <c r="I70" s="514"/>
      <c r="K70" s="556"/>
      <c r="L70" s="556"/>
    </row>
    <row r="71" spans="1:12" s="143" customFormat="1" ht="12.95" customHeight="1" x14ac:dyDescent="0.25">
      <c r="A71" s="637" t="s">
        <v>172</v>
      </c>
      <c r="B71" s="637"/>
      <c r="C71" s="637"/>
      <c r="D71" s="637"/>
      <c r="E71" s="637"/>
      <c r="F71" s="637"/>
      <c r="G71" s="637"/>
      <c r="H71" s="637"/>
      <c r="I71" s="637"/>
      <c r="J71" s="147"/>
    </row>
    <row r="72" spans="1:12" s="11" customFormat="1" ht="4.5" customHeight="1" x14ac:dyDescent="0.25">
      <c r="I72" s="2"/>
      <c r="J72" s="2"/>
    </row>
    <row r="73" spans="1:12" ht="12.75" customHeight="1" x14ac:dyDescent="0.3">
      <c r="A73" s="311" t="s">
        <v>258</v>
      </c>
      <c r="E73" s="316"/>
      <c r="F73" s="575"/>
      <c r="G73" s="828"/>
      <c r="H73" s="829"/>
      <c r="I73" s="171" t="e">
        <f>I69</f>
        <v>#REF!</v>
      </c>
      <c r="K73" s="556"/>
      <c r="L73" s="556"/>
    </row>
    <row r="74" spans="1:12" ht="12.75" customHeight="1" x14ac:dyDescent="0.25">
      <c r="A74" s="48" t="s">
        <v>113</v>
      </c>
      <c r="F74" s="700">
        <v>0</v>
      </c>
      <c r="G74" s="826">
        <v>100</v>
      </c>
      <c r="H74" s="827"/>
      <c r="I74" s="171">
        <f>F74*G74</f>
        <v>0</v>
      </c>
      <c r="K74" s="556"/>
      <c r="L74" s="556"/>
    </row>
    <row r="75" spans="1:12" s="11" customFormat="1" ht="4.5" customHeight="1" x14ac:dyDescent="0.25">
      <c r="I75" s="2"/>
      <c r="J75" s="2"/>
    </row>
    <row r="76" spans="1:12" s="32" customFormat="1" ht="12.75" x14ac:dyDescent="0.2">
      <c r="A76" s="557" t="s">
        <v>261</v>
      </c>
      <c r="B76" s="558"/>
      <c r="C76" s="559"/>
      <c r="D76" s="559"/>
      <c r="E76" s="129"/>
      <c r="F76" s="560"/>
      <c r="G76" s="560"/>
      <c r="H76" s="560"/>
      <c r="I76" s="167" t="e">
        <f>I73+I74</f>
        <v>#REF!</v>
      </c>
      <c r="J76" s="36"/>
      <c r="K76" s="82"/>
      <c r="L76" s="83"/>
    </row>
    <row r="77" spans="1:12" s="32" customFormat="1" ht="4.5" customHeight="1" x14ac:dyDescent="0.2">
      <c r="B77" s="33"/>
      <c r="C77" s="34"/>
      <c r="D77" s="34"/>
      <c r="E77" s="66"/>
      <c r="F77" s="67"/>
      <c r="G77" s="93"/>
      <c r="I77" s="168"/>
      <c r="J77" s="36"/>
      <c r="K77" s="84"/>
      <c r="L77" s="85"/>
    </row>
    <row r="78" spans="1:12" s="32" customFormat="1" ht="12.75" x14ac:dyDescent="0.2">
      <c r="A78" s="68" t="s">
        <v>13</v>
      </c>
      <c r="B78" s="33"/>
      <c r="C78" s="34"/>
      <c r="D78" s="34"/>
      <c r="E78" s="76"/>
      <c r="F78" s="701">
        <v>0.04</v>
      </c>
      <c r="G78" s="94"/>
      <c r="H78" s="37"/>
      <c r="I78" s="169" t="e">
        <f>IF(F45=0,"-",ROUND(I76*F78,2))</f>
        <v>#REF!</v>
      </c>
      <c r="J78" s="36"/>
      <c r="K78" s="84"/>
      <c r="L78" s="85"/>
    </row>
    <row r="79" spans="1:12" s="32" customFormat="1" ht="3" customHeight="1" x14ac:dyDescent="0.2">
      <c r="A79" s="69"/>
      <c r="B79" s="70"/>
      <c r="C79" s="71"/>
      <c r="D79" s="71"/>
      <c r="E79" s="77"/>
      <c r="F79" s="240"/>
      <c r="G79" s="95"/>
      <c r="H79" s="69"/>
      <c r="I79" s="170"/>
      <c r="J79" s="36"/>
      <c r="K79" s="84"/>
      <c r="L79" s="85"/>
    </row>
    <row r="80" spans="1:12" s="32" customFormat="1" ht="3" customHeight="1" x14ac:dyDescent="0.2">
      <c r="B80" s="33"/>
      <c r="C80" s="34"/>
      <c r="D80" s="34"/>
      <c r="E80" s="79"/>
      <c r="F80" s="241"/>
      <c r="G80" s="96"/>
      <c r="H80" s="80"/>
      <c r="I80" s="168"/>
      <c r="J80" s="36"/>
      <c r="K80" s="84"/>
      <c r="L80" s="85"/>
    </row>
    <row r="81" spans="1:12" s="32" customFormat="1" ht="3" customHeight="1" x14ac:dyDescent="0.2">
      <c r="A81" s="37"/>
      <c r="B81" s="231"/>
      <c r="C81" s="78"/>
      <c r="D81" s="78"/>
      <c r="E81" s="72"/>
      <c r="F81" s="67"/>
      <c r="G81" s="93"/>
      <c r="I81" s="173"/>
      <c r="J81" s="36"/>
      <c r="K81" s="84"/>
      <c r="L81" s="85"/>
    </row>
    <row r="82" spans="1:12" s="32" customFormat="1" ht="12.75" x14ac:dyDescent="0.2">
      <c r="A82" s="557" t="s">
        <v>262</v>
      </c>
      <c r="B82" s="558"/>
      <c r="C82" s="559"/>
      <c r="D82" s="559"/>
      <c r="E82" s="129"/>
      <c r="F82" s="560"/>
      <c r="G82" s="560"/>
      <c r="H82" s="560"/>
      <c r="I82" s="167" t="e">
        <f>SUM(I76:I80)</f>
        <v>#REF!</v>
      </c>
      <c r="J82" s="36"/>
      <c r="K82" s="82"/>
      <c r="L82" s="83"/>
    </row>
    <row r="83" spans="1:12" s="32" customFormat="1" ht="4.5" customHeight="1" x14ac:dyDescent="0.2">
      <c r="B83" s="33"/>
      <c r="C83" s="34"/>
      <c r="D83" s="34"/>
      <c r="E83" s="66"/>
      <c r="F83" s="67"/>
      <c r="G83" s="93"/>
      <c r="I83" s="168"/>
      <c r="J83" s="36"/>
      <c r="K83" s="84"/>
      <c r="L83" s="85"/>
    </row>
    <row r="84" spans="1:12" s="32" customFormat="1" ht="12.75" x14ac:dyDescent="0.2">
      <c r="A84" s="68" t="s">
        <v>150</v>
      </c>
      <c r="B84" s="33"/>
      <c r="C84" s="34"/>
      <c r="D84" s="34"/>
      <c r="E84" s="76"/>
      <c r="F84" s="701">
        <v>0</v>
      </c>
      <c r="G84" s="94"/>
      <c r="H84" s="37"/>
      <c r="I84" s="169" t="e">
        <f>IF(F49=0,"-",ROUND(I82*F84,2))</f>
        <v>#REF!</v>
      </c>
      <c r="J84" s="36"/>
      <c r="K84" s="84"/>
      <c r="L84" s="85"/>
    </row>
    <row r="85" spans="1:12" s="32" customFormat="1" ht="3" customHeight="1" x14ac:dyDescent="0.2">
      <c r="A85" s="69"/>
      <c r="B85" s="70"/>
      <c r="C85" s="71"/>
      <c r="D85" s="71"/>
      <c r="E85" s="77"/>
      <c r="F85" s="240"/>
      <c r="G85" s="95"/>
      <c r="H85" s="69"/>
      <c r="I85" s="170"/>
      <c r="J85" s="36"/>
      <c r="K85" s="84"/>
      <c r="L85" s="85"/>
    </row>
    <row r="86" spans="1:12" s="32" customFormat="1" ht="3" customHeight="1" x14ac:dyDescent="0.2">
      <c r="B86" s="33"/>
      <c r="C86" s="34"/>
      <c r="D86" s="34"/>
      <c r="E86" s="79"/>
      <c r="F86" s="241"/>
      <c r="G86" s="96"/>
      <c r="H86" s="80"/>
      <c r="I86" s="168"/>
      <c r="J86" s="36"/>
      <c r="K86" s="84"/>
      <c r="L86" s="85"/>
    </row>
    <row r="87" spans="1:12" s="32" customFormat="1" ht="12.75" x14ac:dyDescent="0.2">
      <c r="A87" s="557" t="s">
        <v>263</v>
      </c>
      <c r="B87" s="558"/>
      <c r="C87" s="559"/>
      <c r="D87" s="559"/>
      <c r="E87" s="129"/>
      <c r="F87" s="560"/>
      <c r="G87" s="560"/>
      <c r="H87" s="560"/>
      <c r="I87" s="167" t="e">
        <f>I82+I84</f>
        <v>#REF!</v>
      </c>
      <c r="J87" s="36"/>
      <c r="K87" s="82"/>
      <c r="L87" s="83"/>
    </row>
    <row r="88" spans="1:12" s="159" customFormat="1" ht="4.5" customHeight="1" x14ac:dyDescent="0.2">
      <c r="A88" s="73"/>
      <c r="B88" s="74"/>
      <c r="C88" s="75"/>
      <c r="D88" s="75"/>
      <c r="E88" s="615"/>
      <c r="I88" s="171"/>
      <c r="J88" s="36"/>
      <c r="K88" s="82"/>
      <c r="L88" s="83"/>
    </row>
    <row r="89" spans="1:12" s="32" customFormat="1" ht="12.75" x14ac:dyDescent="0.2">
      <c r="A89" s="32" t="s">
        <v>14</v>
      </c>
      <c r="B89" s="33"/>
      <c r="D89" s="34"/>
      <c r="E89" s="72"/>
      <c r="F89" s="38">
        <v>0.2</v>
      </c>
      <c r="G89" s="38"/>
      <c r="I89" s="172" t="e">
        <f>IF(F49=0,"-",ROUND(I87*F89,2))</f>
        <v>#REF!</v>
      </c>
      <c r="J89" s="36"/>
      <c r="K89" s="84"/>
      <c r="L89" s="90"/>
    </row>
    <row r="90" spans="1:12" s="32" customFormat="1" ht="3" customHeight="1" x14ac:dyDescent="0.2">
      <c r="A90" s="37"/>
      <c r="B90" s="231"/>
      <c r="C90" s="78"/>
      <c r="D90" s="78"/>
      <c r="E90" s="72"/>
      <c r="F90" s="67"/>
      <c r="G90" s="93"/>
      <c r="I90" s="173"/>
      <c r="J90" s="36"/>
      <c r="K90" s="84"/>
      <c r="L90" s="85"/>
    </row>
    <row r="91" spans="1:12" s="37" customFormat="1" ht="12.75" x14ac:dyDescent="0.2">
      <c r="A91" s="564" t="s">
        <v>264</v>
      </c>
      <c r="B91" s="569"/>
      <c r="C91" s="565"/>
      <c r="D91" s="565"/>
      <c r="E91" s="226"/>
      <c r="F91" s="567"/>
      <c r="G91" s="567"/>
      <c r="H91" s="566"/>
      <c r="I91" s="233" t="e">
        <f>SUM(I86:I89)</f>
        <v>#REF!</v>
      </c>
      <c r="J91" s="36"/>
      <c r="K91" s="88"/>
      <c r="L91" s="89"/>
    </row>
    <row r="92" spans="1:12" ht="5.0999999999999996" customHeight="1" x14ac:dyDescent="0.25">
      <c r="K92" s="556"/>
      <c r="L92" s="556"/>
    </row>
  </sheetData>
  <mergeCells count="25">
    <mergeCell ref="A15:B15"/>
    <mergeCell ref="H2:I2"/>
    <mergeCell ref="A7:B7"/>
    <mergeCell ref="A9:B9"/>
    <mergeCell ref="A11:B11"/>
    <mergeCell ref="A13:B13"/>
    <mergeCell ref="G38:H38"/>
    <mergeCell ref="A17:B17"/>
    <mergeCell ref="A19:B19"/>
    <mergeCell ref="A21:B21"/>
    <mergeCell ref="A23:B23"/>
    <mergeCell ref="G31:H31"/>
    <mergeCell ref="G32:H32"/>
    <mergeCell ref="G33:H33"/>
    <mergeCell ref="G34:H34"/>
    <mergeCell ref="G35:H35"/>
    <mergeCell ref="G36:H36"/>
    <mergeCell ref="G37:H37"/>
    <mergeCell ref="G74:H74"/>
    <mergeCell ref="G39:H39"/>
    <mergeCell ref="G40:H40"/>
    <mergeCell ref="G41:H41"/>
    <mergeCell ref="G42:H42"/>
    <mergeCell ref="G43:H43"/>
    <mergeCell ref="G73:H73"/>
  </mergeCells>
  <pageMargins left="0.59055118110236227" right="0.39370078740157483" top="0.55118110236220474" bottom="0.78740157480314965" header="0.31496062992125984" footer="0.31496062992125984"/>
  <pageSetup paperSize="9" scale="71" pageOrder="overThenDown" orientation="portrait" r:id="rId1"/>
  <headerFooter>
    <oddFooter>&amp;L&amp;"Arial,Fett"&amp;10&amp;K01+026Kostenrahmen Gesamtabwicklung &amp;C&amp;"Arial,Standard"&amp;10&amp;K4D4D4DErstellt am: 25.02.16; Gedruckt am: &amp;D&amp;R&amp;"Arial,Standard"&amp;10&amp;K01+026Seite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rgb="FFC00000"/>
  </sheetPr>
  <dimension ref="A1:M92"/>
  <sheetViews>
    <sheetView showGridLines="0" view="pageBreakPreview" zoomScaleNormal="85" zoomScaleSheetLayoutView="100" zoomScalePageLayoutView="85" workbookViewId="0">
      <selection activeCell="M60" sqref="M60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8" customWidth="1"/>
    <col min="7" max="7" width="2.7109375" style="42" customWidth="1"/>
    <col min="8" max="8" width="11.28515625" style="9" customWidth="1" collapsed="1"/>
    <col min="9" max="9" width="14.7109375" style="10" customWidth="1"/>
    <col min="10" max="10" width="2.7109375" style="59" customWidth="1"/>
    <col min="11" max="11" width="62.85546875" bestFit="1" customWidth="1"/>
    <col min="14" max="16384" width="11.5703125" style="1"/>
  </cols>
  <sheetData>
    <row r="1" spans="1:13" ht="5.0999999999999996" customHeight="1" x14ac:dyDescent="0.25"/>
    <row r="2" spans="1:13" s="54" customFormat="1" ht="35.1" customHeight="1" x14ac:dyDescent="0.25">
      <c r="A2" s="688" t="s">
        <v>309</v>
      </c>
      <c r="C2" s="13"/>
      <c r="D2" s="103"/>
      <c r="F2" s="55"/>
      <c r="G2" s="55"/>
      <c r="H2" s="830" t="s">
        <v>96</v>
      </c>
      <c r="I2" s="830"/>
      <c r="J2" s="62"/>
      <c r="K2" s="56"/>
      <c r="L2" s="56"/>
      <c r="M2" s="56"/>
    </row>
    <row r="3" spans="1:13" s="143" customFormat="1" ht="12.95" customHeight="1" x14ac:dyDescent="0.25">
      <c r="A3" s="291" t="s">
        <v>106</v>
      </c>
      <c r="B3" s="291"/>
      <c r="C3" s="291"/>
      <c r="D3" s="291"/>
      <c r="E3" s="291"/>
      <c r="F3" s="291"/>
      <c r="G3" s="291"/>
      <c r="H3" s="291"/>
      <c r="I3" s="291"/>
      <c r="J3" s="147"/>
      <c r="K3" s="3"/>
    </row>
    <row r="4" spans="1:13" s="11" customFormat="1" ht="6" customHeight="1" x14ac:dyDescent="0.25">
      <c r="I4" s="2"/>
      <c r="J4" s="2"/>
    </row>
    <row r="5" spans="1:13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J5" s="45"/>
    </row>
    <row r="6" spans="1:13" s="11" customFormat="1" ht="6" customHeight="1" x14ac:dyDescent="0.25">
      <c r="F6" s="98"/>
      <c r="I6" s="2"/>
      <c r="J6" s="2"/>
    </row>
    <row r="7" spans="1:13" s="12" customFormat="1" ht="12.95" customHeight="1" x14ac:dyDescent="0.2">
      <c r="A7" s="821">
        <v>1</v>
      </c>
      <c r="B7" s="821"/>
      <c r="C7" s="106"/>
      <c r="D7" s="107" t="s">
        <v>0</v>
      </c>
      <c r="E7" s="160">
        <f>F7/_1_9</f>
        <v>2.1739888766278866E-3</v>
      </c>
      <c r="F7" s="179">
        <f>_1</f>
        <v>70000</v>
      </c>
      <c r="G7" s="104"/>
      <c r="H7" s="135">
        <v>0</v>
      </c>
      <c r="I7" s="179">
        <f>F7*H7</f>
        <v>0</v>
      </c>
      <c r="J7" s="50"/>
    </row>
    <row r="8" spans="1:13" ht="2.25" customHeight="1" x14ac:dyDescent="0.25">
      <c r="B8" s="4"/>
      <c r="C8" s="6"/>
      <c r="D8" s="1"/>
      <c r="E8" s="161"/>
      <c r="F8" s="174"/>
      <c r="G8" s="1"/>
      <c r="H8" s="631"/>
      <c r="I8" s="174"/>
      <c r="J8" s="63"/>
    </row>
    <row r="9" spans="1:13" s="12" customFormat="1" ht="12.75" customHeight="1" x14ac:dyDescent="0.2">
      <c r="A9" s="821">
        <v>2</v>
      </c>
      <c r="B9" s="821"/>
      <c r="C9" s="106"/>
      <c r="D9" s="107" t="s">
        <v>1</v>
      </c>
      <c r="E9" s="160">
        <f>F9/_1_9</f>
        <v>0.27951285556644256</v>
      </c>
      <c r="F9" s="179">
        <f>_2</f>
        <v>9000000</v>
      </c>
      <c r="G9" s="104"/>
      <c r="H9" s="135">
        <v>1</v>
      </c>
      <c r="I9" s="179">
        <f>F9*H9</f>
        <v>9000000</v>
      </c>
      <c r="J9" s="50"/>
    </row>
    <row r="10" spans="1:13" ht="2.25" customHeight="1" x14ac:dyDescent="0.25">
      <c r="B10" s="13"/>
      <c r="C10" s="13"/>
      <c r="D10" s="14"/>
      <c r="E10" s="161"/>
      <c r="F10" s="175"/>
      <c r="G10" s="1"/>
      <c r="H10" s="631"/>
      <c r="I10" s="175"/>
      <c r="J10" s="50"/>
    </row>
    <row r="11" spans="1:13" s="11" customFormat="1" ht="12.95" customHeight="1" x14ac:dyDescent="0.2">
      <c r="A11" s="821">
        <v>3</v>
      </c>
      <c r="B11" s="821"/>
      <c r="C11" s="106"/>
      <c r="D11" s="107" t="s">
        <v>7</v>
      </c>
      <c r="E11" s="160">
        <f>F11/_1_9</f>
        <v>0.25156157000979829</v>
      </c>
      <c r="F11" s="389">
        <f>_3</f>
        <v>8100000</v>
      </c>
      <c r="G11" s="104"/>
      <c r="H11" s="135">
        <v>1</v>
      </c>
      <c r="I11" s="389">
        <f>F11*H11</f>
        <v>8100000</v>
      </c>
      <c r="J11" s="50"/>
    </row>
    <row r="12" spans="1:13" ht="2.25" customHeight="1" x14ac:dyDescent="0.25">
      <c r="B12" s="13"/>
      <c r="C12" s="13"/>
      <c r="D12" s="14"/>
      <c r="E12" s="161"/>
      <c r="F12" s="158"/>
      <c r="G12" s="1"/>
      <c r="H12" s="630"/>
      <c r="I12" s="158"/>
      <c r="J12" s="49"/>
    </row>
    <row r="13" spans="1:13" s="11" customFormat="1" ht="12.75" customHeight="1" x14ac:dyDescent="0.2">
      <c r="A13" s="821">
        <v>4</v>
      </c>
      <c r="B13" s="821"/>
      <c r="C13" s="106"/>
      <c r="D13" s="107" t="s">
        <v>2</v>
      </c>
      <c r="E13" s="160">
        <f>F13/_1_9</f>
        <v>0.20187039568687518</v>
      </c>
      <c r="F13" s="179">
        <f>_4</f>
        <v>6500000</v>
      </c>
      <c r="G13" s="104"/>
      <c r="H13" s="135">
        <v>1</v>
      </c>
      <c r="I13" s="389">
        <f>F13*H13</f>
        <v>6500000</v>
      </c>
      <c r="J13" s="50"/>
    </row>
    <row r="14" spans="1:13" ht="2.25" customHeight="1" x14ac:dyDescent="0.25">
      <c r="B14" s="4"/>
      <c r="C14" s="6"/>
      <c r="D14" s="1"/>
      <c r="E14" s="161"/>
      <c r="F14" s="158"/>
      <c r="G14" s="1"/>
      <c r="H14" s="632"/>
      <c r="I14" s="158"/>
      <c r="J14" s="48"/>
      <c r="K14" s="43"/>
    </row>
    <row r="15" spans="1:13" s="12" customFormat="1" ht="12.95" customHeight="1" x14ac:dyDescent="0.2">
      <c r="A15" s="821">
        <v>5</v>
      </c>
      <c r="B15" s="821"/>
      <c r="C15" s="106"/>
      <c r="D15" s="107" t="s">
        <v>9</v>
      </c>
      <c r="E15" s="160">
        <f>F15/_1_9</f>
        <v>5.1244023520514471E-2</v>
      </c>
      <c r="F15" s="389">
        <f>_5</f>
        <v>1650000</v>
      </c>
      <c r="G15" s="104"/>
      <c r="H15" s="135">
        <v>1</v>
      </c>
      <c r="I15" s="389">
        <f>H15*F15</f>
        <v>1650000</v>
      </c>
      <c r="J15" s="50"/>
    </row>
    <row r="16" spans="1:13" ht="2.25" customHeight="1" x14ac:dyDescent="0.25">
      <c r="B16" s="13"/>
      <c r="C16" s="13"/>
      <c r="D16" s="14"/>
      <c r="E16" s="161"/>
      <c r="F16" s="175"/>
      <c r="G16" s="1"/>
      <c r="H16" s="631"/>
      <c r="I16" s="175"/>
      <c r="J16" s="50"/>
      <c r="K16" s="43"/>
    </row>
    <row r="17" spans="1:13" s="11" customFormat="1" ht="12.75" customHeight="1" x14ac:dyDescent="0.2">
      <c r="A17" s="821">
        <v>6</v>
      </c>
      <c r="B17" s="821"/>
      <c r="C17" s="106"/>
      <c r="D17" s="107" t="s">
        <v>3</v>
      </c>
      <c r="E17" s="160">
        <f>F17/_1_9</f>
        <v>1.5528491975913475E-2</v>
      </c>
      <c r="F17" s="179">
        <f>_6</f>
        <v>500000</v>
      </c>
      <c r="G17" s="104"/>
      <c r="H17" s="135">
        <v>1</v>
      </c>
      <c r="I17" s="389">
        <f>F17*H17</f>
        <v>500000</v>
      </c>
      <c r="J17" s="50"/>
    </row>
    <row r="18" spans="1:13" ht="2.25" customHeight="1" x14ac:dyDescent="0.25">
      <c r="B18" s="17"/>
      <c r="C18" s="5"/>
      <c r="D18" s="1"/>
      <c r="E18" s="164"/>
      <c r="F18" s="158"/>
      <c r="G18" s="1"/>
      <c r="H18" s="632"/>
      <c r="I18" s="158"/>
      <c r="J18" s="50"/>
      <c r="K18" s="18"/>
      <c r="L18" s="31"/>
      <c r="M18" s="31"/>
    </row>
    <row r="19" spans="1:13" s="12" customFormat="1" ht="12.95" customHeight="1" x14ac:dyDescent="0.2">
      <c r="A19" s="821">
        <v>7</v>
      </c>
      <c r="B19" s="821"/>
      <c r="C19" s="106"/>
      <c r="D19" s="107" t="s">
        <v>166</v>
      </c>
      <c r="E19" s="160">
        <f>F19/_1_9</f>
        <v>0.14729944861863917</v>
      </c>
      <c r="F19" s="179">
        <f>_7</f>
        <v>4742876.7985686567</v>
      </c>
      <c r="G19" s="104"/>
      <c r="H19" s="135">
        <v>0</v>
      </c>
      <c r="I19" s="179">
        <f>F19*H19</f>
        <v>0</v>
      </c>
      <c r="J19" s="50"/>
      <c r="K19" s="3"/>
    </row>
    <row r="20" spans="1:13" ht="2.25" customHeight="1" x14ac:dyDescent="0.25">
      <c r="B20" s="13"/>
      <c r="C20" s="13"/>
      <c r="D20" s="14"/>
      <c r="E20" s="164"/>
      <c r="F20" s="175"/>
      <c r="G20" s="1"/>
      <c r="H20" s="631"/>
      <c r="I20" s="175"/>
      <c r="J20" s="50"/>
      <c r="K20" s="18"/>
      <c r="L20" s="31"/>
    </row>
    <row r="21" spans="1:13" s="12" customFormat="1" ht="12.95" customHeight="1" x14ac:dyDescent="0.2">
      <c r="A21" s="821">
        <v>8</v>
      </c>
      <c r="B21" s="821"/>
      <c r="C21" s="106"/>
      <c r="D21" s="107" t="s">
        <v>165</v>
      </c>
      <c r="E21" s="160">
        <f>F21/_1_9</f>
        <v>1.1180514222657702E-3</v>
      </c>
      <c r="F21" s="179">
        <f>_8</f>
        <v>36000</v>
      </c>
      <c r="G21" s="104"/>
      <c r="H21" s="135">
        <v>0</v>
      </c>
      <c r="I21" s="179">
        <f>F21*H21</f>
        <v>0</v>
      </c>
      <c r="J21" s="50"/>
      <c r="K21" s="187"/>
    </row>
    <row r="22" spans="1:13" ht="2.25" customHeight="1" x14ac:dyDescent="0.25">
      <c r="B22" s="13"/>
      <c r="C22" s="13"/>
      <c r="D22" s="14"/>
      <c r="E22" s="164"/>
      <c r="F22" s="158"/>
      <c r="G22" s="1"/>
      <c r="H22" s="630"/>
      <c r="I22" s="158"/>
      <c r="J22" s="49"/>
      <c r="K22" s="30"/>
      <c r="L22" s="31"/>
    </row>
    <row r="23" spans="1:13" s="12" customFormat="1" ht="12.95" customHeight="1" x14ac:dyDescent="0.2">
      <c r="A23" s="821">
        <v>9</v>
      </c>
      <c r="B23" s="821"/>
      <c r="C23" s="106"/>
      <c r="D23" s="107" t="s">
        <v>10</v>
      </c>
      <c r="E23" s="160">
        <f>F23/_1_9</f>
        <v>4.9691174322923123E-2</v>
      </c>
      <c r="F23" s="179">
        <f>_9</f>
        <v>1600000</v>
      </c>
      <c r="G23" s="104"/>
      <c r="H23" s="135">
        <v>0.4</v>
      </c>
      <c r="I23" s="179">
        <f>F23*H23</f>
        <v>640000</v>
      </c>
      <c r="J23" s="50"/>
      <c r="K23" s="30"/>
    </row>
    <row r="24" spans="1:13" ht="12" customHeight="1" x14ac:dyDescent="0.25">
      <c r="B24" s="17"/>
      <c r="C24" s="5"/>
      <c r="D24" s="1"/>
      <c r="E24" s="47"/>
      <c r="F24" s="1"/>
      <c r="G24" s="1"/>
      <c r="H24" s="1"/>
      <c r="I24" s="1"/>
      <c r="J24" s="1"/>
      <c r="K24" s="30"/>
      <c r="L24" s="31"/>
    </row>
    <row r="25" spans="1:13" s="141" customFormat="1" ht="12.95" customHeight="1" x14ac:dyDescent="0.25">
      <c r="A25" s="144" t="s">
        <v>12</v>
      </c>
      <c r="B25" s="145"/>
      <c r="C25" s="145"/>
      <c r="D25" s="145"/>
      <c r="E25" s="148">
        <f>SUM(E7:E23)</f>
        <v>0.99999999999999989</v>
      </c>
      <c r="F25" s="146">
        <f>SUM(F7+F9+F11+F13+F15+F17+F19+F21+F23)</f>
        <v>32198876.798568659</v>
      </c>
      <c r="G25" s="149"/>
      <c r="H25" s="191"/>
      <c r="I25" s="3"/>
      <c r="J25" s="3"/>
      <c r="K25" s="3"/>
      <c r="L25" s="150"/>
      <c r="M25" s="150"/>
    </row>
    <row r="26" spans="1:13" ht="4.5" customHeight="1" x14ac:dyDescent="0.25">
      <c r="B26" s="13"/>
      <c r="C26" s="13"/>
      <c r="D26" s="14"/>
      <c r="E26" s="47"/>
      <c r="F26" s="14"/>
      <c r="G26" s="1"/>
      <c r="H26" s="19"/>
      <c r="I26" s="15"/>
      <c r="J26" s="18"/>
      <c r="K26" s="30"/>
      <c r="L26" s="31"/>
    </row>
    <row r="27" spans="1:13" s="143" customFormat="1" ht="12.95" customHeight="1" x14ac:dyDescent="0.25">
      <c r="A27" s="321" t="s">
        <v>32</v>
      </c>
      <c r="B27" s="145"/>
      <c r="C27" s="145"/>
      <c r="D27" s="145"/>
      <c r="E27" s="145"/>
      <c r="F27" s="145"/>
      <c r="G27" s="145"/>
      <c r="H27" s="320"/>
      <c r="I27" s="146">
        <f>SUM(I7:I23)</f>
        <v>26390000</v>
      </c>
      <c r="J27" s="147"/>
      <c r="K27" s="3"/>
    </row>
    <row r="28" spans="1:13" ht="13.5" customHeight="1" x14ac:dyDescent="0.25">
      <c r="A28" s="193"/>
      <c r="B28" s="193"/>
      <c r="C28" s="193"/>
      <c r="D28" s="193"/>
      <c r="E28" s="194"/>
      <c r="F28" s="193"/>
      <c r="G28" s="194"/>
      <c r="I28" s="308"/>
    </row>
    <row r="29" spans="1:13" s="143" customFormat="1" ht="12.95" customHeight="1" x14ac:dyDescent="0.25">
      <c r="A29" s="291" t="s">
        <v>83</v>
      </c>
      <c r="B29" s="291"/>
      <c r="C29" s="291"/>
      <c r="D29" s="291"/>
      <c r="E29" s="291"/>
      <c r="F29" s="291"/>
      <c r="G29" s="291"/>
      <c r="H29" s="291"/>
      <c r="I29" s="291"/>
      <c r="J29" s="147"/>
      <c r="K29" s="3"/>
    </row>
    <row r="30" spans="1:13" s="11" customFormat="1" ht="4.5" customHeight="1" x14ac:dyDescent="0.25">
      <c r="I30" s="2"/>
      <c r="J30" s="2"/>
    </row>
    <row r="31" spans="1:13" ht="12.75" customHeight="1" x14ac:dyDescent="0.25">
      <c r="A31" s="25"/>
      <c r="B31" s="25"/>
      <c r="C31" s="25"/>
      <c r="D31" s="1"/>
      <c r="E31" s="1"/>
      <c r="F31" s="197" t="s">
        <v>5</v>
      </c>
      <c r="G31" s="822" t="s">
        <v>4</v>
      </c>
      <c r="H31" s="822"/>
      <c r="I31" s="309"/>
      <c r="J31" s="58"/>
    </row>
    <row r="32" spans="1:13" ht="12.75" customHeight="1" x14ac:dyDescent="0.25">
      <c r="B32" s="26" t="s">
        <v>46</v>
      </c>
      <c r="C32" s="60"/>
      <c r="D32" s="51"/>
      <c r="E32" s="51"/>
      <c r="F32" s="151">
        <v>14</v>
      </c>
      <c r="G32" s="823" t="s">
        <v>33</v>
      </c>
      <c r="H32" s="823"/>
      <c r="I32" s="309"/>
      <c r="J32" s="58"/>
    </row>
    <row r="33" spans="1:13" ht="12.75" customHeight="1" x14ac:dyDescent="0.25">
      <c r="B33" s="27" t="s">
        <v>47</v>
      </c>
      <c r="C33" s="61"/>
      <c r="D33" s="52"/>
      <c r="E33" s="52"/>
      <c r="F33" s="151">
        <v>2</v>
      </c>
      <c r="G33" s="824" t="s">
        <v>6</v>
      </c>
      <c r="H33" s="824"/>
      <c r="I33" s="309"/>
      <c r="J33" s="58"/>
    </row>
    <row r="34" spans="1:13" ht="12.75" customHeight="1" x14ac:dyDescent="0.25">
      <c r="B34" s="27" t="s">
        <v>48</v>
      </c>
      <c r="C34" s="61"/>
      <c r="D34" s="52"/>
      <c r="E34" s="52"/>
      <c r="F34" s="151">
        <v>1</v>
      </c>
      <c r="G34" s="824" t="s">
        <v>6</v>
      </c>
      <c r="H34" s="824"/>
      <c r="I34" s="309"/>
      <c r="J34" s="58"/>
    </row>
    <row r="35" spans="1:13" ht="12.75" customHeight="1" x14ac:dyDescent="0.25">
      <c r="B35" s="27" t="s">
        <v>49</v>
      </c>
      <c r="C35" s="52"/>
      <c r="D35" s="52"/>
      <c r="E35" s="52"/>
      <c r="F35" s="151">
        <v>2</v>
      </c>
      <c r="G35" s="824" t="s">
        <v>6</v>
      </c>
      <c r="H35" s="824"/>
      <c r="I35" s="309"/>
      <c r="J35" s="58"/>
    </row>
    <row r="36" spans="1:13" ht="4.5" customHeight="1" x14ac:dyDescent="0.25">
      <c r="A36" s="40"/>
      <c r="B36" s="40"/>
      <c r="C36" s="40"/>
      <c r="D36" s="1"/>
      <c r="E36" s="1"/>
      <c r="F36" s="201"/>
      <c r="G36" s="824"/>
      <c r="H36" s="824"/>
      <c r="I36" s="309"/>
      <c r="J36" s="58"/>
      <c r="K36" s="31"/>
      <c r="L36" s="31"/>
      <c r="M36" s="31"/>
    </row>
    <row r="37" spans="1:13" ht="12.75" customHeight="1" x14ac:dyDescent="0.25">
      <c r="B37" s="27" t="s">
        <v>141</v>
      </c>
      <c r="C37" s="61"/>
      <c r="D37" s="52"/>
      <c r="E37" s="52"/>
      <c r="F37" s="152"/>
      <c r="G37" s="824" t="s">
        <v>6</v>
      </c>
      <c r="H37" s="824"/>
      <c r="I37" s="309"/>
      <c r="J37" s="58"/>
    </row>
    <row r="38" spans="1:13" ht="12.75" customHeight="1" x14ac:dyDescent="0.25">
      <c r="B38" s="27" t="s">
        <v>142</v>
      </c>
      <c r="C38" s="61"/>
      <c r="D38" s="52"/>
      <c r="E38" s="52"/>
      <c r="F38" s="152"/>
      <c r="G38" s="824" t="s">
        <v>57</v>
      </c>
      <c r="H38" s="824"/>
      <c r="I38" s="309"/>
      <c r="J38" s="58"/>
    </row>
    <row r="39" spans="1:13" ht="12.75" customHeight="1" x14ac:dyDescent="0.25">
      <c r="B39" s="27" t="s">
        <v>143</v>
      </c>
      <c r="C39" s="61"/>
      <c r="D39" s="52"/>
      <c r="E39" s="52"/>
      <c r="F39" s="152"/>
      <c r="G39" s="824" t="s">
        <v>57</v>
      </c>
      <c r="H39" s="824"/>
      <c r="I39" s="309"/>
      <c r="J39" s="58"/>
    </row>
    <row r="40" spans="1:13" ht="12.75" customHeight="1" x14ac:dyDescent="0.25">
      <c r="B40" s="27" t="s">
        <v>144</v>
      </c>
      <c r="C40" s="61"/>
      <c r="D40" s="52"/>
      <c r="E40" s="52"/>
      <c r="F40" s="152"/>
      <c r="G40" s="824" t="s">
        <v>57</v>
      </c>
      <c r="H40" s="824"/>
      <c r="I40" s="309"/>
      <c r="J40" s="58"/>
    </row>
    <row r="41" spans="1:13" ht="12.75" customHeight="1" x14ac:dyDescent="0.25">
      <c r="B41" s="27" t="s">
        <v>145</v>
      </c>
      <c r="C41" s="61"/>
      <c r="D41" s="52"/>
      <c r="E41" s="52"/>
      <c r="F41" s="152"/>
      <c r="G41" s="824" t="s">
        <v>148</v>
      </c>
      <c r="H41" s="824"/>
      <c r="I41" s="309"/>
      <c r="J41" s="58"/>
    </row>
    <row r="42" spans="1:13" ht="12.75" customHeight="1" x14ac:dyDescent="0.25">
      <c r="B42" s="27" t="s">
        <v>146</v>
      </c>
      <c r="C42" s="61"/>
      <c r="D42" s="52"/>
      <c r="E42" s="52"/>
      <c r="F42" s="152"/>
      <c r="G42" s="824" t="s">
        <v>149</v>
      </c>
      <c r="H42" s="824"/>
      <c r="I42" s="309"/>
      <c r="J42" s="58"/>
    </row>
    <row r="43" spans="1:13" ht="12.75" customHeight="1" x14ac:dyDescent="0.25">
      <c r="B43" s="27" t="s">
        <v>147</v>
      </c>
      <c r="C43" s="61"/>
      <c r="D43" s="52"/>
      <c r="E43" s="52"/>
      <c r="F43" s="152"/>
      <c r="G43" s="824" t="s">
        <v>6</v>
      </c>
      <c r="H43" s="824"/>
      <c r="I43" s="309"/>
      <c r="J43" s="58"/>
    </row>
    <row r="44" spans="1:13" ht="4.5" customHeight="1" x14ac:dyDescent="0.25">
      <c r="A44" s="40"/>
      <c r="B44" s="40"/>
      <c r="C44" s="40"/>
      <c r="D44" s="1"/>
      <c r="E44" s="1"/>
      <c r="F44" s="201"/>
      <c r="G44" s="57"/>
      <c r="I44" s="309"/>
      <c r="J44" s="58"/>
      <c r="K44" s="31"/>
      <c r="L44" s="31"/>
      <c r="M44" s="31"/>
    </row>
    <row r="45" spans="1:13" ht="12.75" customHeight="1" x14ac:dyDescent="0.25">
      <c r="B45" s="25" t="s">
        <v>45</v>
      </c>
      <c r="C45" s="1"/>
      <c r="D45" s="202"/>
      <c r="E45" s="203"/>
      <c r="F45" s="204">
        <f>SUM(F32:F44)</f>
        <v>19</v>
      </c>
      <c r="G45" s="203"/>
      <c r="I45" s="309"/>
      <c r="J45" s="1"/>
    </row>
    <row r="46" spans="1:13" ht="12.95" customHeight="1" x14ac:dyDescent="0.25">
      <c r="B46" s="40"/>
      <c r="C46" s="1"/>
      <c r="D46" s="203"/>
      <c r="E46" s="203"/>
      <c r="F46" s="203"/>
      <c r="G46" s="203"/>
      <c r="H46" s="53"/>
      <c r="I46" s="309"/>
      <c r="J46" s="1"/>
      <c r="K46" s="31"/>
      <c r="L46" s="31"/>
      <c r="M46" s="31"/>
    </row>
    <row r="47" spans="1:13" s="143" customFormat="1" ht="12.95" customHeight="1" x14ac:dyDescent="0.25">
      <c r="A47" s="291" t="s">
        <v>171</v>
      </c>
      <c r="B47" s="291"/>
      <c r="C47" s="291"/>
      <c r="D47" s="291"/>
      <c r="E47" s="291"/>
      <c r="F47" s="291"/>
      <c r="G47" s="291"/>
      <c r="H47" s="291"/>
      <c r="I47" s="291"/>
      <c r="J47" s="147"/>
      <c r="K47" s="3"/>
    </row>
    <row r="48" spans="1:13" s="11" customFormat="1" ht="4.5" customHeight="1" x14ac:dyDescent="0.25">
      <c r="I48" s="2"/>
      <c r="J48" s="2"/>
    </row>
    <row r="49" spans="1:13" ht="14.25" customHeight="1" x14ac:dyDescent="0.25">
      <c r="A49" s="206" t="s">
        <v>11</v>
      </c>
      <c r="B49" s="206"/>
      <c r="C49" s="1"/>
      <c r="F49" s="230">
        <f>I27</f>
        <v>26390000</v>
      </c>
      <c r="I49" s="1"/>
      <c r="J49" s="18"/>
    </row>
    <row r="50" spans="1:13" ht="14.25" customHeight="1" x14ac:dyDescent="0.25">
      <c r="A50" s="28" t="s">
        <v>86</v>
      </c>
      <c r="B50" s="28"/>
      <c r="C50" s="28"/>
      <c r="D50" s="1"/>
      <c r="E50" s="1"/>
      <c r="F50" s="131">
        <f>0.0214*F45+0.9143</f>
        <v>1.3209</v>
      </c>
      <c r="G50" s="155"/>
      <c r="I50" s="310"/>
      <c r="J50" s="18"/>
    </row>
    <row r="51" spans="1:13" ht="14.25" customHeight="1" x14ac:dyDescent="0.25">
      <c r="A51" s="28" t="s">
        <v>84</v>
      </c>
      <c r="B51" s="28"/>
      <c r="C51" s="28"/>
      <c r="D51" s="1"/>
      <c r="E51" s="1"/>
      <c r="F51" s="207">
        <f>ROUND(IF(F49=0,"-",(-0.0778*LN(F49)+2.022)*F50/100),4)</f>
        <v>9.1000000000000004E-3</v>
      </c>
      <c r="G51" s="234" t="s">
        <v>107</v>
      </c>
      <c r="I51" s="310"/>
      <c r="J51" s="18"/>
    </row>
    <row r="52" spans="1:13" ht="14.25" customHeight="1" x14ac:dyDescent="0.3">
      <c r="A52" s="311" t="s">
        <v>168</v>
      </c>
      <c r="B52" s="25"/>
      <c r="C52" s="25"/>
      <c r="D52" s="312"/>
      <c r="E52" s="208"/>
      <c r="F52" s="319">
        <f>IF(F49=0,"-",ROUND(F49*F51,2))</f>
        <v>240149</v>
      </c>
      <c r="G52" s="315" t="s">
        <v>169</v>
      </c>
      <c r="H52" s="19"/>
      <c r="I52" s="15"/>
      <c r="J52" s="18"/>
      <c r="K52" s="134"/>
      <c r="L52" s="43"/>
      <c r="M52" s="43"/>
    </row>
    <row r="53" spans="1:13" ht="12.75" customHeight="1" x14ac:dyDescent="0.25">
      <c r="A53" s="39"/>
      <c r="B53" s="40"/>
      <c r="C53" s="40"/>
      <c r="D53" s="208"/>
      <c r="G53" s="209"/>
      <c r="H53" s="57"/>
      <c r="I53" s="41"/>
      <c r="J53" s="18"/>
      <c r="K53" s="31"/>
      <c r="L53" s="31"/>
      <c r="M53" s="31"/>
    </row>
    <row r="54" spans="1:13" s="143" customFormat="1" ht="12.95" customHeight="1" x14ac:dyDescent="0.25">
      <c r="A54" s="291" t="s">
        <v>170</v>
      </c>
      <c r="B54" s="291"/>
      <c r="C54" s="291"/>
      <c r="D54" s="291"/>
      <c r="E54" s="291"/>
      <c r="F54" s="291"/>
      <c r="G54" s="291"/>
      <c r="H54" s="291"/>
      <c r="I54" s="291"/>
      <c r="J54" s="147"/>
      <c r="K54" s="3"/>
    </row>
    <row r="55" spans="1:13" s="11" customFormat="1" ht="4.5" customHeight="1" x14ac:dyDescent="0.25">
      <c r="I55" s="2"/>
      <c r="J55" s="2"/>
    </row>
    <row r="56" spans="1:13" ht="12.75" customHeight="1" x14ac:dyDescent="0.25">
      <c r="A56" s="210" t="s">
        <v>35</v>
      </c>
      <c r="B56" s="210"/>
      <c r="C56" s="211"/>
      <c r="D56" s="1"/>
      <c r="E56" s="287">
        <v>0.2</v>
      </c>
      <c r="F56" s="313">
        <v>0.2</v>
      </c>
      <c r="G56" s="1"/>
      <c r="H56" s="212">
        <v>1</v>
      </c>
      <c r="I56" s="594">
        <f>IF($F$49=0,"-",$F$52*F56)</f>
        <v>48029.8</v>
      </c>
    </row>
    <row r="57" spans="1:13" ht="12.75" customHeight="1" x14ac:dyDescent="0.25">
      <c r="A57" s="210" t="s">
        <v>36</v>
      </c>
      <c r="B57" s="210"/>
      <c r="C57" s="211"/>
      <c r="D57" s="1"/>
      <c r="E57" s="288">
        <v>0.06</v>
      </c>
      <c r="F57" s="313">
        <v>0.06</v>
      </c>
      <c r="G57" s="1"/>
      <c r="H57" s="212">
        <v>2</v>
      </c>
      <c r="I57" s="594">
        <f t="shared" ref="I57:I68" si="0">IF($F$49=0,"-",$F$52*F57)</f>
        <v>14408.939999999999</v>
      </c>
    </row>
    <row r="58" spans="1:13" ht="12.75" customHeight="1" x14ac:dyDescent="0.25">
      <c r="A58" s="210" t="s">
        <v>37</v>
      </c>
      <c r="B58" s="210"/>
      <c r="C58" s="211"/>
      <c r="D58" s="1"/>
      <c r="E58" s="288">
        <v>0.08</v>
      </c>
      <c r="F58" s="313">
        <v>0.08</v>
      </c>
      <c r="G58" s="1"/>
      <c r="H58" s="212">
        <v>3</v>
      </c>
      <c r="I58" s="594">
        <f t="shared" si="0"/>
        <v>19211.920000000002</v>
      </c>
    </row>
    <row r="59" spans="1:13" ht="12.75" customHeight="1" x14ac:dyDescent="0.25">
      <c r="A59" s="210" t="s">
        <v>38</v>
      </c>
      <c r="B59" s="210"/>
      <c r="C59" s="211"/>
      <c r="D59" s="1"/>
      <c r="E59" s="288">
        <v>0.03</v>
      </c>
      <c r="F59" s="313">
        <v>0.03</v>
      </c>
      <c r="G59" s="1"/>
      <c r="H59" s="212">
        <v>4</v>
      </c>
      <c r="I59" s="594">
        <f t="shared" si="0"/>
        <v>7204.4699999999993</v>
      </c>
    </row>
    <row r="60" spans="1:13" ht="12.75" customHeight="1" x14ac:dyDescent="0.25">
      <c r="A60" s="210" t="s">
        <v>39</v>
      </c>
      <c r="B60" s="210"/>
      <c r="C60" s="211"/>
      <c r="D60" s="1"/>
      <c r="E60" s="288">
        <v>0.17</v>
      </c>
      <c r="F60" s="313">
        <v>0.17</v>
      </c>
      <c r="G60" s="1"/>
      <c r="H60" s="212">
        <v>5</v>
      </c>
      <c r="I60" s="594">
        <f t="shared" si="0"/>
        <v>40825.33</v>
      </c>
    </row>
    <row r="61" spans="1:13" ht="12.75" customHeight="1" x14ac:dyDescent="0.25">
      <c r="A61" s="210" t="s">
        <v>40</v>
      </c>
      <c r="B61" s="210"/>
      <c r="C61" s="211"/>
      <c r="D61" s="1"/>
      <c r="E61" s="288">
        <v>0.08</v>
      </c>
      <c r="F61" s="313">
        <v>0.08</v>
      </c>
      <c r="G61" s="1"/>
      <c r="H61" s="212">
        <v>6</v>
      </c>
      <c r="I61" s="594">
        <f t="shared" si="0"/>
        <v>19211.920000000002</v>
      </c>
    </row>
    <row r="62" spans="1:13" ht="12.75" customHeight="1" x14ac:dyDescent="0.25">
      <c r="A62" s="210" t="s">
        <v>41</v>
      </c>
      <c r="B62" s="210"/>
      <c r="C62" s="211"/>
      <c r="D62" s="1"/>
      <c r="E62" s="288">
        <v>0.02</v>
      </c>
      <c r="F62" s="313">
        <v>0.02</v>
      </c>
      <c r="G62" s="1"/>
      <c r="H62" s="212"/>
      <c r="I62" s="594">
        <f t="shared" si="0"/>
        <v>4802.9800000000005</v>
      </c>
      <c r="K62" s="44"/>
      <c r="L62" s="44"/>
      <c r="M62" s="44"/>
    </row>
    <row r="63" spans="1:13" ht="12.75" customHeight="1" x14ac:dyDescent="0.25">
      <c r="A63" s="210" t="s">
        <v>42</v>
      </c>
      <c r="B63" s="210"/>
      <c r="C63" s="211"/>
      <c r="D63" s="1"/>
      <c r="E63" s="288">
        <v>0.03</v>
      </c>
      <c r="F63" s="313">
        <v>0.03</v>
      </c>
      <c r="G63" s="1"/>
      <c r="H63" s="212">
        <v>7</v>
      </c>
      <c r="I63" s="594">
        <f t="shared" si="0"/>
        <v>7204.4699999999993</v>
      </c>
      <c r="K63" s="44"/>
      <c r="L63" s="44"/>
      <c r="M63" s="44"/>
    </row>
    <row r="64" spans="1:13" ht="12.75" customHeight="1" x14ac:dyDescent="0.25">
      <c r="A64" s="193" t="s">
        <v>43</v>
      </c>
      <c r="B64" s="193"/>
      <c r="C64" s="211"/>
      <c r="D64" s="1"/>
      <c r="E64" s="288">
        <v>0.3</v>
      </c>
      <c r="F64" s="313">
        <v>0.3</v>
      </c>
      <c r="G64" s="1"/>
      <c r="H64" s="212">
        <v>8</v>
      </c>
      <c r="I64" s="594">
        <f t="shared" si="0"/>
        <v>72044.7</v>
      </c>
      <c r="K64" s="44"/>
      <c r="L64" s="44"/>
      <c r="M64" s="44"/>
    </row>
    <row r="65" spans="1:13" ht="12.75" customHeight="1" x14ac:dyDescent="0.25">
      <c r="A65" s="294" t="s">
        <v>44</v>
      </c>
      <c r="B65" s="294"/>
      <c r="C65" s="295"/>
      <c r="D65" s="1"/>
      <c r="E65" s="292">
        <v>0.03</v>
      </c>
      <c r="F65" s="313">
        <v>0.03</v>
      </c>
      <c r="G65" s="1"/>
      <c r="H65" s="296">
        <v>9</v>
      </c>
      <c r="I65" s="594">
        <f t="shared" si="0"/>
        <v>7204.4699999999993</v>
      </c>
      <c r="K65" s="44"/>
      <c r="L65" s="44"/>
      <c r="M65" s="44"/>
    </row>
    <row r="66" spans="1:13" s="303" customFormat="1" ht="12.75" customHeight="1" x14ac:dyDescent="0.25">
      <c r="A66" s="580" t="s">
        <v>164</v>
      </c>
      <c r="B66" s="580"/>
      <c r="C66" s="581"/>
      <c r="E66" s="582"/>
      <c r="F66" s="588">
        <v>0</v>
      </c>
      <c r="H66" s="583"/>
      <c r="I66" s="603">
        <f>IF($F$49=0,"-",$F$52*F66)</f>
        <v>0</v>
      </c>
      <c r="J66" s="301"/>
      <c r="K66" s="302"/>
      <c r="L66" s="302"/>
      <c r="M66" s="302"/>
    </row>
    <row r="67" spans="1:13" s="303" customFormat="1" ht="12.75" customHeight="1" x14ac:dyDescent="0.25">
      <c r="A67" s="580" t="s">
        <v>164</v>
      </c>
      <c r="B67" s="580"/>
      <c r="C67" s="581"/>
      <c r="E67" s="582"/>
      <c r="F67" s="588">
        <v>0</v>
      </c>
      <c r="H67" s="583"/>
      <c r="I67" s="603">
        <f>IF($F$49=0,"-",$F$52*F67)</f>
        <v>0</v>
      </c>
      <c r="J67" s="301"/>
      <c r="K67" s="302"/>
      <c r="L67" s="302"/>
      <c r="M67" s="302"/>
    </row>
    <row r="68" spans="1:13" s="303" customFormat="1" ht="12.75" customHeight="1" x14ac:dyDescent="0.25">
      <c r="A68" s="297" t="s">
        <v>164</v>
      </c>
      <c r="B68" s="297"/>
      <c r="C68" s="298"/>
      <c r="D68" s="299"/>
      <c r="E68" s="300"/>
      <c r="F68" s="589">
        <v>0</v>
      </c>
      <c r="G68" s="299"/>
      <c r="H68" s="314"/>
      <c r="I68" s="596">
        <f t="shared" si="0"/>
        <v>0</v>
      </c>
      <c r="J68" s="301"/>
      <c r="K68" s="302"/>
      <c r="L68" s="302"/>
      <c r="M68" s="302"/>
    </row>
    <row r="69" spans="1:13" ht="12.75" customHeight="1" x14ac:dyDescent="0.25">
      <c r="A69" s="213" t="s">
        <v>190</v>
      </c>
      <c r="B69" s="193"/>
      <c r="C69" s="28"/>
      <c r="D69" s="1"/>
      <c r="E69" s="289">
        <f>SUM(E56:E68)</f>
        <v>1</v>
      </c>
      <c r="F69" s="214">
        <f>SUM(F56:F68)</f>
        <v>1</v>
      </c>
      <c r="H69" s="214"/>
      <c r="I69" s="594">
        <f>SUM(I56:I68)</f>
        <v>240149.00000000003</v>
      </c>
      <c r="K69" s="44"/>
      <c r="L69" s="44"/>
      <c r="M69" s="44"/>
    </row>
    <row r="70" spans="1:13" ht="12.75" customHeight="1" x14ac:dyDescent="0.25">
      <c r="I70" s="188"/>
      <c r="K70" s="44"/>
      <c r="L70" s="44"/>
      <c r="M70" s="44"/>
    </row>
    <row r="71" spans="1:13" s="143" customFormat="1" ht="12.95" customHeight="1" x14ac:dyDescent="0.25">
      <c r="A71" s="291" t="s">
        <v>172</v>
      </c>
      <c r="B71" s="291"/>
      <c r="C71" s="291"/>
      <c r="D71" s="291"/>
      <c r="E71" s="291"/>
      <c r="F71" s="291"/>
      <c r="G71" s="291"/>
      <c r="H71" s="291"/>
      <c r="I71" s="291"/>
      <c r="J71" s="147"/>
      <c r="K71" s="3"/>
    </row>
    <row r="72" spans="1:13" s="11" customFormat="1" ht="4.5" customHeight="1" x14ac:dyDescent="0.25">
      <c r="I72" s="2"/>
      <c r="J72" s="2"/>
    </row>
    <row r="73" spans="1:13" ht="12.75" customHeight="1" x14ac:dyDescent="0.3">
      <c r="A73" s="311" t="s">
        <v>34</v>
      </c>
      <c r="E73" s="316"/>
      <c r="F73" s="317"/>
      <c r="G73" s="828"/>
      <c r="H73" s="829"/>
      <c r="I73" s="171">
        <f>I69</f>
        <v>240149.00000000003</v>
      </c>
      <c r="K73" s="44"/>
      <c r="L73" s="44"/>
      <c r="M73" s="44"/>
    </row>
    <row r="74" spans="1:13" ht="12.75" customHeight="1" x14ac:dyDescent="0.25">
      <c r="A74" s="48" t="s">
        <v>113</v>
      </c>
      <c r="F74" s="318">
        <v>0</v>
      </c>
      <c r="G74" s="831">
        <v>100</v>
      </c>
      <c r="H74" s="832"/>
      <c r="I74" s="171">
        <f>F74*G74</f>
        <v>0</v>
      </c>
      <c r="K74" s="44"/>
      <c r="L74" s="44"/>
      <c r="M74" s="44"/>
    </row>
    <row r="75" spans="1:13" s="11" customFormat="1" ht="4.5" customHeight="1" x14ac:dyDescent="0.25">
      <c r="I75" s="2"/>
      <c r="J75" s="2"/>
    </row>
    <row r="76" spans="1:13" s="32" customFormat="1" ht="12.75" x14ac:dyDescent="0.2">
      <c r="A76" s="125" t="s">
        <v>249</v>
      </c>
      <c r="B76" s="126"/>
      <c r="C76" s="127"/>
      <c r="D76" s="127"/>
      <c r="E76" s="129"/>
      <c r="F76" s="128"/>
      <c r="G76" s="128"/>
      <c r="H76" s="128"/>
      <c r="I76" s="167">
        <f>I73+I74</f>
        <v>240149.00000000003</v>
      </c>
      <c r="J76" s="36"/>
      <c r="K76" s="81"/>
      <c r="L76" s="82"/>
      <c r="M76" s="83"/>
    </row>
    <row r="77" spans="1:13" s="32" customFormat="1" ht="4.5" customHeight="1" x14ac:dyDescent="0.2">
      <c r="B77" s="33"/>
      <c r="C77" s="34"/>
      <c r="D77" s="34"/>
      <c r="E77" s="66"/>
      <c r="F77" s="67"/>
      <c r="G77" s="93"/>
      <c r="I77" s="168"/>
      <c r="J77" s="36"/>
      <c r="K77" s="36"/>
      <c r="L77" s="84"/>
      <c r="M77" s="85"/>
    </row>
    <row r="78" spans="1:13" s="32" customFormat="1" ht="12.75" x14ac:dyDescent="0.2">
      <c r="A78" s="68" t="s">
        <v>13</v>
      </c>
      <c r="B78" s="33"/>
      <c r="C78" s="34"/>
      <c r="D78" s="34"/>
      <c r="E78" s="76"/>
      <c r="F78" s="239">
        <v>0.04</v>
      </c>
      <c r="G78" s="94"/>
      <c r="H78" s="37"/>
      <c r="I78" s="169">
        <f>IF(F45=0,"-",ROUND(I76*F78,2))</f>
        <v>9605.9599999999991</v>
      </c>
      <c r="J78" s="36"/>
      <c r="K78" s="86"/>
      <c r="L78" s="84"/>
      <c r="M78" s="85"/>
    </row>
    <row r="79" spans="1:13" s="32" customFormat="1" ht="3" customHeight="1" x14ac:dyDescent="0.2">
      <c r="A79" s="69"/>
      <c r="B79" s="70"/>
      <c r="C79" s="71"/>
      <c r="D79" s="71"/>
      <c r="E79" s="77"/>
      <c r="F79" s="240"/>
      <c r="G79" s="95"/>
      <c r="H79" s="69"/>
      <c r="I79" s="170"/>
      <c r="J79" s="36"/>
      <c r="K79" s="36"/>
      <c r="L79" s="84"/>
      <c r="M79" s="85"/>
    </row>
    <row r="80" spans="1:13" s="32" customFormat="1" ht="3" customHeight="1" x14ac:dyDescent="0.2">
      <c r="B80" s="33"/>
      <c r="C80" s="34"/>
      <c r="D80" s="34"/>
      <c r="E80" s="79"/>
      <c r="F80" s="241"/>
      <c r="G80" s="96"/>
      <c r="H80" s="80"/>
      <c r="I80" s="168"/>
      <c r="J80" s="36"/>
      <c r="K80" s="36"/>
      <c r="L80" s="84"/>
      <c r="M80" s="85"/>
    </row>
    <row r="81" spans="1:13" s="32" customFormat="1" ht="3" customHeight="1" x14ac:dyDescent="0.2">
      <c r="A81" s="37"/>
      <c r="B81" s="231"/>
      <c r="C81" s="78"/>
      <c r="D81" s="78"/>
      <c r="E81" s="72"/>
      <c r="F81" s="67"/>
      <c r="G81" s="93"/>
      <c r="I81" s="173"/>
      <c r="J81" s="36"/>
      <c r="K81" s="36"/>
      <c r="L81" s="84"/>
      <c r="M81" s="85"/>
    </row>
    <row r="82" spans="1:13" s="32" customFormat="1" ht="12.75" x14ac:dyDescent="0.2">
      <c r="A82" s="125" t="s">
        <v>250</v>
      </c>
      <c r="B82" s="126"/>
      <c r="C82" s="127"/>
      <c r="D82" s="127"/>
      <c r="E82" s="129"/>
      <c r="F82" s="128"/>
      <c r="G82" s="128"/>
      <c r="H82" s="128"/>
      <c r="I82" s="167">
        <f>SUM(I76:I80)</f>
        <v>249754.96000000002</v>
      </c>
      <c r="J82" s="36"/>
      <c r="K82" s="81"/>
      <c r="L82" s="82"/>
      <c r="M82" s="83"/>
    </row>
    <row r="83" spans="1:13" s="32" customFormat="1" ht="4.5" customHeight="1" x14ac:dyDescent="0.2">
      <c r="B83" s="33"/>
      <c r="C83" s="34"/>
      <c r="D83" s="34"/>
      <c r="E83" s="66"/>
      <c r="F83" s="67"/>
      <c r="G83" s="93"/>
      <c r="I83" s="168"/>
      <c r="J83" s="36"/>
      <c r="K83" s="36"/>
      <c r="L83" s="84"/>
      <c r="M83" s="85"/>
    </row>
    <row r="84" spans="1:13" s="32" customFormat="1" ht="12.75" x14ac:dyDescent="0.2">
      <c r="A84" s="68" t="s">
        <v>150</v>
      </c>
      <c r="B84" s="33"/>
      <c r="C84" s="34"/>
      <c r="D84" s="34"/>
      <c r="E84" s="76"/>
      <c r="F84" s="239">
        <v>0</v>
      </c>
      <c r="G84" s="94"/>
      <c r="H84" s="37"/>
      <c r="I84" s="169">
        <f>IF(F49=0,"-",ROUND(I82*F84,2))</f>
        <v>0</v>
      </c>
      <c r="J84" s="36"/>
      <c r="K84" s="86"/>
      <c r="L84" s="84"/>
      <c r="M84" s="85"/>
    </row>
    <row r="85" spans="1:13" s="32" customFormat="1" ht="3" customHeight="1" x14ac:dyDescent="0.2">
      <c r="A85" s="69"/>
      <c r="B85" s="70"/>
      <c r="C85" s="71"/>
      <c r="D85" s="71"/>
      <c r="E85" s="77"/>
      <c r="F85" s="240"/>
      <c r="G85" s="95"/>
      <c r="H85" s="69"/>
      <c r="I85" s="170"/>
      <c r="J85" s="36"/>
      <c r="K85" s="36"/>
      <c r="L85" s="84"/>
      <c r="M85" s="85"/>
    </row>
    <row r="86" spans="1:13" s="32" customFormat="1" ht="3" customHeight="1" x14ac:dyDescent="0.2">
      <c r="B86" s="33"/>
      <c r="C86" s="34"/>
      <c r="D86" s="34"/>
      <c r="E86" s="79"/>
      <c r="F86" s="241"/>
      <c r="G86" s="96"/>
      <c r="H86" s="80"/>
      <c r="I86" s="168"/>
      <c r="J86" s="36"/>
      <c r="K86" s="36"/>
      <c r="L86" s="84"/>
      <c r="M86" s="85"/>
    </row>
    <row r="87" spans="1:13" s="32" customFormat="1" ht="12.75" x14ac:dyDescent="0.2">
      <c r="A87" s="125" t="s">
        <v>251</v>
      </c>
      <c r="B87" s="126"/>
      <c r="C87" s="127"/>
      <c r="D87" s="127"/>
      <c r="E87" s="129"/>
      <c r="F87" s="128"/>
      <c r="G87" s="128"/>
      <c r="H87" s="128"/>
      <c r="I87" s="167">
        <f>I82+I84</f>
        <v>249754.96000000002</v>
      </c>
      <c r="J87" s="36"/>
      <c r="K87" s="81"/>
      <c r="L87" s="82"/>
      <c r="M87" s="83"/>
    </row>
    <row r="88" spans="1:13" s="159" customFormat="1" ht="4.5" customHeight="1" x14ac:dyDescent="0.2">
      <c r="A88" s="73"/>
      <c r="B88" s="74"/>
      <c r="C88" s="75"/>
      <c r="D88" s="75"/>
      <c r="E88" s="615"/>
      <c r="I88" s="171"/>
      <c r="J88" s="36"/>
      <c r="K88" s="81"/>
      <c r="L88" s="82"/>
      <c r="M88" s="83"/>
    </row>
    <row r="89" spans="1:13" s="32" customFormat="1" ht="12.75" x14ac:dyDescent="0.2">
      <c r="A89" s="32" t="s">
        <v>14</v>
      </c>
      <c r="B89" s="33"/>
      <c r="D89" s="34"/>
      <c r="E89" s="72"/>
      <c r="F89" s="38">
        <v>0.2</v>
      </c>
      <c r="G89" s="38"/>
      <c r="I89" s="172">
        <f>IF(F49=0,"-",ROUND(I87*F89,2))</f>
        <v>49950.99</v>
      </c>
      <c r="J89" s="36"/>
      <c r="K89" s="36"/>
      <c r="L89" s="84"/>
      <c r="M89" s="90"/>
    </row>
    <row r="90" spans="1:13" s="32" customFormat="1" ht="3" customHeight="1" x14ac:dyDescent="0.2">
      <c r="A90" s="37"/>
      <c r="B90" s="231"/>
      <c r="C90" s="78"/>
      <c r="D90" s="78"/>
      <c r="E90" s="72"/>
      <c r="F90" s="67"/>
      <c r="G90" s="93"/>
      <c r="I90" s="173"/>
      <c r="J90" s="36"/>
      <c r="K90" s="36"/>
      <c r="L90" s="84"/>
      <c r="M90" s="85"/>
    </row>
    <row r="91" spans="1:13" s="37" customFormat="1" ht="12.75" x14ac:dyDescent="0.2">
      <c r="A91" s="223" t="s">
        <v>252</v>
      </c>
      <c r="B91" s="232"/>
      <c r="C91" s="224"/>
      <c r="D91" s="224"/>
      <c r="E91" s="226"/>
      <c r="F91" s="227"/>
      <c r="G91" s="227"/>
      <c r="H91" s="225"/>
      <c r="I91" s="233">
        <f>SUM(I86:I89)</f>
        <v>299705.95</v>
      </c>
      <c r="J91" s="36"/>
      <c r="K91" s="87"/>
      <c r="L91" s="88"/>
      <c r="M91" s="89"/>
    </row>
    <row r="92" spans="1:13" ht="5.0999999999999996" customHeight="1" x14ac:dyDescent="0.25">
      <c r="K92" s="44"/>
      <c r="L92" s="44"/>
      <c r="M92" s="44"/>
    </row>
  </sheetData>
  <mergeCells count="25">
    <mergeCell ref="H2:I2"/>
    <mergeCell ref="A13:B13"/>
    <mergeCell ref="A15:B15"/>
    <mergeCell ref="A11:B11"/>
    <mergeCell ref="A7:B7"/>
    <mergeCell ref="A9:B9"/>
    <mergeCell ref="A17:B17"/>
    <mergeCell ref="A23:B23"/>
    <mergeCell ref="A21:B21"/>
    <mergeCell ref="G31:H31"/>
    <mergeCell ref="G32:H32"/>
    <mergeCell ref="G74:H74"/>
    <mergeCell ref="G37:H37"/>
    <mergeCell ref="G38:H38"/>
    <mergeCell ref="G39:H39"/>
    <mergeCell ref="A19:B19"/>
    <mergeCell ref="G33:H33"/>
    <mergeCell ref="G36:H36"/>
    <mergeCell ref="G34:H34"/>
    <mergeCell ref="G35:H35"/>
    <mergeCell ref="G40:H40"/>
    <mergeCell ref="G41:H41"/>
    <mergeCell ref="G42:H42"/>
    <mergeCell ref="G43:H43"/>
    <mergeCell ref="G73:H73"/>
  </mergeCells>
  <pageMargins left="0.59055118110236227" right="0.39370078740157483" top="0.55118110236220474" bottom="0.78740157480314965" header="0.31496062992125984" footer="0.31496062992125984"/>
  <pageSetup paperSize="9" scale="71" pageOrder="overThenDown" orientation="portrait" r:id="rId1"/>
  <headerFooter>
    <oddFooter>&amp;L&amp;"Arial,Fett"&amp;10&amp;K01+026Kostenrahmen Gesamtabwicklung &amp;C&amp;"Arial,Standard"&amp;10&amp;K4D4D4DErstellt am: 25.02.16; Gedruckt am: &amp;D&amp;R&amp;"Arial,Standard"&amp;10&amp;K01+026Seite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1">
    <tabColor theme="7"/>
  </sheetPr>
  <dimension ref="A1:M95"/>
  <sheetViews>
    <sheetView showGridLines="0" tabSelected="1" view="pageLayout" topLeftCell="A46" zoomScale="85" zoomScaleNormal="85" zoomScaleSheetLayoutView="100" zoomScalePageLayoutView="85" workbookViewId="0">
      <selection activeCell="D49" sqref="D49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8" customWidth="1"/>
    <col min="7" max="7" width="2.7109375" style="42" customWidth="1"/>
    <col min="8" max="8" width="11.28515625" style="9" customWidth="1" collapsed="1"/>
    <col min="9" max="9" width="14.7109375" style="10" customWidth="1"/>
    <col min="10" max="10" width="7.28515625" style="59" customWidth="1"/>
    <col min="11" max="11" width="62.85546875" style="554" bestFit="1" customWidth="1"/>
    <col min="12" max="13" width="11.5703125" style="554"/>
    <col min="14" max="16384" width="11.5703125" style="1"/>
  </cols>
  <sheetData>
    <row r="1" spans="1:13" ht="5.0999999999999996" customHeight="1" x14ac:dyDescent="0.25"/>
    <row r="2" spans="1:13" ht="12.95" customHeight="1" x14ac:dyDescent="0.25">
      <c r="I2" s="707" t="s">
        <v>309</v>
      </c>
    </row>
    <row r="3" spans="1:13" s="54" customFormat="1" ht="35.1" customHeight="1" x14ac:dyDescent="0.25">
      <c r="A3" s="688"/>
      <c r="C3" s="13"/>
      <c r="D3" s="103"/>
      <c r="F3" s="55"/>
      <c r="G3" s="55"/>
      <c r="H3" s="830" t="s">
        <v>96</v>
      </c>
      <c r="I3" s="830"/>
      <c r="J3" s="62"/>
      <c r="K3" s="56"/>
      <c r="L3" s="56"/>
      <c r="M3" s="56"/>
    </row>
    <row r="4" spans="1:13" s="143" customFormat="1" ht="12.95" customHeight="1" x14ac:dyDescent="0.25">
      <c r="A4" s="690" t="s">
        <v>106</v>
      </c>
      <c r="B4" s="690"/>
      <c r="C4" s="690"/>
      <c r="D4" s="690"/>
      <c r="E4" s="690"/>
      <c r="F4" s="690"/>
      <c r="G4" s="690"/>
      <c r="H4" s="690"/>
      <c r="I4" s="690"/>
      <c r="J4" s="147"/>
      <c r="K4" s="3"/>
    </row>
    <row r="5" spans="1:13" s="11" customFormat="1" ht="6" customHeight="1" x14ac:dyDescent="0.25">
      <c r="I5" s="2"/>
      <c r="J5" s="2"/>
    </row>
    <row r="6" spans="1:13" s="11" customFormat="1" ht="12.95" customHeight="1" x14ac:dyDescent="0.25">
      <c r="E6" s="100" t="s">
        <v>82</v>
      </c>
      <c r="F6" s="45" t="s">
        <v>50</v>
      </c>
      <c r="G6" s="45"/>
      <c r="H6" s="16" t="s">
        <v>16</v>
      </c>
      <c r="I6" s="117" t="s">
        <v>51</v>
      </c>
      <c r="J6" s="45"/>
    </row>
    <row r="7" spans="1:13" s="11" customFormat="1" ht="6" customHeight="1" x14ac:dyDescent="0.25">
      <c r="F7" s="98"/>
      <c r="I7" s="2"/>
      <c r="J7" s="2"/>
    </row>
    <row r="8" spans="1:13" s="12" customFormat="1" ht="12.95" customHeight="1" x14ac:dyDescent="0.2">
      <c r="A8" s="821">
        <v>1</v>
      </c>
      <c r="B8" s="821"/>
      <c r="C8" s="106"/>
      <c r="D8" s="107" t="s">
        <v>0</v>
      </c>
      <c r="E8" s="691">
        <f>F8/_1_9</f>
        <v>2.1739888766278866E-3</v>
      </c>
      <c r="F8" s="389">
        <f>_1</f>
        <v>70000</v>
      </c>
      <c r="G8" s="104"/>
      <c r="H8" s="135">
        <v>0</v>
      </c>
      <c r="I8" s="389">
        <f>F8*H8</f>
        <v>0</v>
      </c>
      <c r="J8" s="50"/>
    </row>
    <row r="9" spans="1:13" ht="2.25" customHeight="1" x14ac:dyDescent="0.25">
      <c r="B9" s="4"/>
      <c r="C9" s="6"/>
      <c r="D9" s="1"/>
      <c r="E9" s="161"/>
      <c r="F9" s="174"/>
      <c r="G9" s="1"/>
      <c r="H9" s="631"/>
      <c r="I9" s="174"/>
      <c r="J9" s="63"/>
    </row>
    <row r="10" spans="1:13" s="12" customFormat="1" ht="12.75" customHeight="1" x14ac:dyDescent="0.2">
      <c r="A10" s="821">
        <v>2</v>
      </c>
      <c r="B10" s="821"/>
      <c r="C10" s="106"/>
      <c r="D10" s="107" t="s">
        <v>1</v>
      </c>
      <c r="E10" s="691">
        <f>F10/_1_9</f>
        <v>0.27951285556644256</v>
      </c>
      <c r="F10" s="389">
        <f>_2</f>
        <v>9000000</v>
      </c>
      <c r="G10" s="104"/>
      <c r="H10" s="135">
        <v>1</v>
      </c>
      <c r="I10" s="389">
        <f>F10*H10</f>
        <v>9000000</v>
      </c>
      <c r="J10" s="50"/>
    </row>
    <row r="11" spans="1:13" ht="2.25" customHeight="1" x14ac:dyDescent="0.25">
      <c r="B11" s="13"/>
      <c r="C11" s="13"/>
      <c r="D11" s="14"/>
      <c r="E11" s="161"/>
      <c r="F11" s="175"/>
      <c r="G11" s="1"/>
      <c r="H11" s="631"/>
      <c r="I11" s="175"/>
      <c r="J11" s="50"/>
    </row>
    <row r="12" spans="1:13" s="11" customFormat="1" ht="12.95" customHeight="1" x14ac:dyDescent="0.2">
      <c r="A12" s="821">
        <v>3</v>
      </c>
      <c r="B12" s="821"/>
      <c r="C12" s="106"/>
      <c r="D12" s="107" t="s">
        <v>7</v>
      </c>
      <c r="E12" s="691">
        <f>F12/_1_9</f>
        <v>0.25156157000979829</v>
      </c>
      <c r="F12" s="389">
        <f>_3</f>
        <v>8100000</v>
      </c>
      <c r="G12" s="104"/>
      <c r="H12" s="135">
        <v>1</v>
      </c>
      <c r="I12" s="389">
        <f>F12*H12</f>
        <v>8100000</v>
      </c>
      <c r="J12" s="50"/>
    </row>
    <row r="13" spans="1:13" ht="2.25" customHeight="1" x14ac:dyDescent="0.25">
      <c r="B13" s="13"/>
      <c r="C13" s="13"/>
      <c r="D13" s="14"/>
      <c r="E13" s="161"/>
      <c r="F13" s="158"/>
      <c r="G13" s="1"/>
      <c r="H13" s="630"/>
      <c r="I13" s="158"/>
      <c r="J13" s="49"/>
    </row>
    <row r="14" spans="1:13" s="11" customFormat="1" ht="12.75" customHeight="1" x14ac:dyDescent="0.2">
      <c r="A14" s="821">
        <v>4</v>
      </c>
      <c r="B14" s="821"/>
      <c r="C14" s="106"/>
      <c r="D14" s="107" t="s">
        <v>2</v>
      </c>
      <c r="E14" s="691">
        <f>F14/_1_9</f>
        <v>0.20187039568687518</v>
      </c>
      <c r="F14" s="389">
        <f>_4</f>
        <v>6500000</v>
      </c>
      <c r="G14" s="104"/>
      <c r="H14" s="135">
        <v>1</v>
      </c>
      <c r="I14" s="389">
        <f>F14*H14</f>
        <v>6500000</v>
      </c>
      <c r="J14" s="50"/>
    </row>
    <row r="15" spans="1:13" ht="2.25" customHeight="1" x14ac:dyDescent="0.25">
      <c r="B15" s="4"/>
      <c r="C15" s="6"/>
      <c r="D15" s="1"/>
      <c r="E15" s="161"/>
      <c r="F15" s="158"/>
      <c r="G15" s="1"/>
      <c r="H15" s="632"/>
      <c r="I15" s="158"/>
      <c r="J15" s="48"/>
      <c r="K15" s="43"/>
    </row>
    <row r="16" spans="1:13" s="12" customFormat="1" ht="12.95" customHeight="1" x14ac:dyDescent="0.2">
      <c r="A16" s="821">
        <v>5</v>
      </c>
      <c r="B16" s="821"/>
      <c r="C16" s="106"/>
      <c r="D16" s="107" t="s">
        <v>9</v>
      </c>
      <c r="E16" s="691">
        <f>F16/_1_9</f>
        <v>5.1244023520514471E-2</v>
      </c>
      <c r="F16" s="389">
        <f>_5</f>
        <v>1650000</v>
      </c>
      <c r="G16" s="104"/>
      <c r="H16" s="135">
        <v>1</v>
      </c>
      <c r="I16" s="389">
        <f>H16*F16</f>
        <v>1650000</v>
      </c>
      <c r="J16" s="50"/>
    </row>
    <row r="17" spans="1:13" ht="2.25" customHeight="1" x14ac:dyDescent="0.25">
      <c r="B17" s="13"/>
      <c r="C17" s="13"/>
      <c r="D17" s="14"/>
      <c r="E17" s="161"/>
      <c r="F17" s="175"/>
      <c r="G17" s="1"/>
      <c r="H17" s="631"/>
      <c r="I17" s="175"/>
      <c r="J17" s="50"/>
      <c r="K17" s="43"/>
    </row>
    <row r="18" spans="1:13" s="11" customFormat="1" ht="12.75" customHeight="1" x14ac:dyDescent="0.2">
      <c r="A18" s="821">
        <v>6</v>
      </c>
      <c r="B18" s="821"/>
      <c r="C18" s="106"/>
      <c r="D18" s="107" t="s">
        <v>3</v>
      </c>
      <c r="E18" s="691">
        <f>F18/_1_9</f>
        <v>1.5528491975913475E-2</v>
      </c>
      <c r="F18" s="389">
        <f>_6</f>
        <v>500000</v>
      </c>
      <c r="G18" s="104"/>
      <c r="H18" s="135">
        <v>1</v>
      </c>
      <c r="I18" s="389">
        <f>F18*H18</f>
        <v>500000</v>
      </c>
      <c r="J18" s="50"/>
    </row>
    <row r="19" spans="1:13" ht="2.25" customHeight="1" x14ac:dyDescent="0.25">
      <c r="B19" s="17"/>
      <c r="C19" s="5"/>
      <c r="D19" s="1"/>
      <c r="E19" s="164"/>
      <c r="F19" s="158"/>
      <c r="G19" s="1"/>
      <c r="H19" s="632"/>
      <c r="I19" s="158"/>
      <c r="J19" s="50"/>
      <c r="K19" s="18"/>
      <c r="L19" s="555"/>
      <c r="M19" s="555"/>
    </row>
    <row r="20" spans="1:13" s="12" customFormat="1" ht="12.95" customHeight="1" x14ac:dyDescent="0.2">
      <c r="A20" s="821">
        <v>7</v>
      </c>
      <c r="B20" s="821"/>
      <c r="C20" s="106"/>
      <c r="D20" s="107" t="s">
        <v>166</v>
      </c>
      <c r="E20" s="691">
        <f>F20/_1_9</f>
        <v>0.14729944861863917</v>
      </c>
      <c r="F20" s="389">
        <f>_7</f>
        <v>4742876.7985686567</v>
      </c>
      <c r="G20" s="104"/>
      <c r="H20" s="135">
        <v>0</v>
      </c>
      <c r="I20" s="389">
        <f>F20*H20</f>
        <v>0</v>
      </c>
      <c r="J20" s="50"/>
      <c r="K20" s="3"/>
    </row>
    <row r="21" spans="1:13" ht="2.25" customHeight="1" x14ac:dyDescent="0.25">
      <c r="B21" s="13"/>
      <c r="C21" s="13"/>
      <c r="D21" s="14"/>
      <c r="E21" s="164"/>
      <c r="F21" s="175"/>
      <c r="G21" s="1"/>
      <c r="H21" s="631"/>
      <c r="I21" s="175"/>
      <c r="J21" s="50"/>
      <c r="K21" s="18"/>
      <c r="L21" s="555"/>
    </row>
    <row r="22" spans="1:13" s="12" customFormat="1" ht="12.95" customHeight="1" x14ac:dyDescent="0.2">
      <c r="A22" s="821">
        <v>8</v>
      </c>
      <c r="B22" s="821"/>
      <c r="C22" s="106"/>
      <c r="D22" s="107" t="s">
        <v>165</v>
      </c>
      <c r="E22" s="691">
        <f>F22/_1_9</f>
        <v>1.1180514222657702E-3</v>
      </c>
      <c r="F22" s="389">
        <f>_8</f>
        <v>36000</v>
      </c>
      <c r="G22" s="104"/>
      <c r="H22" s="135">
        <v>0</v>
      </c>
      <c r="I22" s="389">
        <f>F22*H22</f>
        <v>0</v>
      </c>
      <c r="J22" s="50"/>
      <c r="K22" s="187"/>
    </row>
    <row r="23" spans="1:13" ht="2.25" customHeight="1" x14ac:dyDescent="0.25">
      <c r="B23" s="13"/>
      <c r="C23" s="13"/>
      <c r="D23" s="14"/>
      <c r="E23" s="164"/>
      <c r="F23" s="158"/>
      <c r="G23" s="1"/>
      <c r="H23" s="630"/>
      <c r="I23" s="158"/>
      <c r="J23" s="49"/>
      <c r="K23" s="30"/>
      <c r="L23" s="555"/>
    </row>
    <row r="24" spans="1:13" s="12" customFormat="1" ht="12.95" customHeight="1" x14ac:dyDescent="0.2">
      <c r="A24" s="821">
        <v>9</v>
      </c>
      <c r="B24" s="821"/>
      <c r="C24" s="106"/>
      <c r="D24" s="107" t="s">
        <v>10</v>
      </c>
      <c r="E24" s="691">
        <f>F24/_1_9</f>
        <v>4.9691174322923123E-2</v>
      </c>
      <c r="F24" s="389">
        <f>_9</f>
        <v>1600000</v>
      </c>
      <c r="G24" s="104"/>
      <c r="H24" s="135">
        <v>0.4</v>
      </c>
      <c r="I24" s="389">
        <f>F24*H24</f>
        <v>640000</v>
      </c>
      <c r="J24" s="50"/>
      <c r="K24" s="30"/>
    </row>
    <row r="25" spans="1:13" ht="12" customHeight="1" x14ac:dyDescent="0.25">
      <c r="B25" s="17"/>
      <c r="C25" s="5"/>
      <c r="D25" s="1"/>
      <c r="E25" s="47"/>
      <c r="F25" s="1"/>
      <c r="G25" s="1"/>
      <c r="H25" s="1"/>
      <c r="I25" s="1"/>
      <c r="J25" s="1"/>
      <c r="K25" s="30"/>
      <c r="L25" s="555"/>
    </row>
    <row r="26" spans="1:13" s="141" customFormat="1" ht="12.95" customHeight="1" x14ac:dyDescent="0.25">
      <c r="A26" s="538" t="s">
        <v>12</v>
      </c>
      <c r="B26" s="539"/>
      <c r="C26" s="539"/>
      <c r="D26" s="539"/>
      <c r="E26" s="148">
        <f>SUM(E8:E24)</f>
        <v>0.99999999999999989</v>
      </c>
      <c r="F26" s="146">
        <f>SUM(F8+F10+F12+F14+F16+F18+F20+F22+F24)</f>
        <v>32198876.798568659</v>
      </c>
      <c r="G26" s="149"/>
      <c r="H26" s="191"/>
      <c r="I26" s="146">
        <f>SUM(I8+I10+I12+I14+I16+I18+I20+I22+I24)</f>
        <v>26390000</v>
      </c>
      <c r="J26" s="3"/>
      <c r="K26" s="3"/>
      <c r="L26" s="150"/>
      <c r="M26" s="150"/>
    </row>
    <row r="27" spans="1:13" ht="4.5" customHeight="1" x14ac:dyDescent="0.25">
      <c r="B27" s="13"/>
      <c r="C27" s="13"/>
      <c r="D27" s="14"/>
      <c r="E27" s="47"/>
      <c r="F27" s="14"/>
      <c r="G27" s="1"/>
      <c r="H27" s="19"/>
      <c r="I27" s="15"/>
      <c r="J27" s="18"/>
      <c r="K27" s="30"/>
      <c r="L27" s="555"/>
    </row>
    <row r="28" spans="1:13" s="11" customFormat="1" ht="12.95" customHeight="1" x14ac:dyDescent="0.2">
      <c r="A28" s="821"/>
      <c r="B28" s="821"/>
      <c r="C28" s="106" t="s">
        <v>432</v>
      </c>
      <c r="D28" s="107"/>
      <c r="E28" s="803"/>
      <c r="F28" s="389">
        <f>_mvB</f>
        <v>110000</v>
      </c>
      <c r="G28" s="104"/>
      <c r="H28" s="135">
        <v>1</v>
      </c>
      <c r="I28" s="389">
        <f>F28*H28</f>
        <v>110000</v>
      </c>
      <c r="J28" s="50"/>
    </row>
    <row r="29" spans="1:13" ht="4.5" customHeight="1" x14ac:dyDescent="0.25">
      <c r="B29" s="13"/>
      <c r="C29" s="13"/>
      <c r="D29" s="14"/>
      <c r="E29" s="47"/>
      <c r="F29" s="14"/>
      <c r="G29" s="1"/>
      <c r="H29" s="19"/>
      <c r="I29" s="15"/>
      <c r="J29" s="18"/>
      <c r="K29" s="30"/>
      <c r="L29" s="555"/>
    </row>
    <row r="30" spans="1:13" s="143" customFormat="1" ht="12.95" customHeight="1" x14ac:dyDescent="0.25">
      <c r="A30" s="321" t="s">
        <v>32</v>
      </c>
      <c r="B30" s="539"/>
      <c r="C30" s="539"/>
      <c r="D30" s="539"/>
      <c r="E30" s="539"/>
      <c r="F30" s="539"/>
      <c r="G30" s="539"/>
      <c r="H30" s="320"/>
      <c r="I30" s="146">
        <f>SUM(I26:I28)</f>
        <v>26500000</v>
      </c>
      <c r="J30" s="147"/>
      <c r="K30" s="3"/>
    </row>
    <row r="31" spans="1:13" ht="13.5" customHeight="1" x14ac:dyDescent="0.25">
      <c r="A31" s="193"/>
      <c r="B31" s="193"/>
      <c r="C31" s="193"/>
      <c r="D31" s="193"/>
      <c r="E31" s="194"/>
      <c r="F31" s="193"/>
      <c r="G31" s="194"/>
      <c r="I31" s="308"/>
    </row>
    <row r="32" spans="1:13" s="143" customFormat="1" ht="12.95" customHeight="1" x14ac:dyDescent="0.25">
      <c r="A32" s="690" t="s">
        <v>83</v>
      </c>
      <c r="B32" s="690"/>
      <c r="C32" s="690"/>
      <c r="D32" s="690"/>
      <c r="E32" s="690"/>
      <c r="F32" s="690"/>
      <c r="G32" s="690"/>
      <c r="H32" s="690"/>
      <c r="I32" s="690"/>
      <c r="J32" s="147"/>
      <c r="K32" s="3"/>
    </row>
    <row r="33" spans="1:13" s="11" customFormat="1" ht="4.5" customHeight="1" x14ac:dyDescent="0.25">
      <c r="I33" s="2"/>
      <c r="J33" s="2"/>
    </row>
    <row r="34" spans="1:13" ht="12.75" customHeight="1" x14ac:dyDescent="0.25">
      <c r="A34" s="25"/>
      <c r="B34" s="25"/>
      <c r="C34" s="25"/>
      <c r="D34" s="1"/>
      <c r="E34" s="1"/>
      <c r="F34" s="197" t="s">
        <v>5</v>
      </c>
      <c r="G34" s="822" t="s">
        <v>4</v>
      </c>
      <c r="H34" s="822"/>
      <c r="I34" s="309"/>
      <c r="J34" s="58"/>
    </row>
    <row r="35" spans="1:13" ht="12.75" customHeight="1" x14ac:dyDescent="0.25">
      <c r="B35" s="26" t="s">
        <v>46</v>
      </c>
      <c r="C35" s="60"/>
      <c r="D35" s="51"/>
      <c r="E35" s="51"/>
      <c r="F35" s="151">
        <v>14</v>
      </c>
      <c r="G35" s="823" t="s">
        <v>33</v>
      </c>
      <c r="H35" s="823"/>
      <c r="I35" s="309"/>
      <c r="J35" s="58"/>
    </row>
    <row r="36" spans="1:13" ht="12.75" customHeight="1" x14ac:dyDescent="0.25">
      <c r="B36" s="27" t="s">
        <v>47</v>
      </c>
      <c r="C36" s="61"/>
      <c r="D36" s="52"/>
      <c r="E36" s="52"/>
      <c r="F36" s="151">
        <v>2</v>
      </c>
      <c r="G36" s="824" t="s">
        <v>6</v>
      </c>
      <c r="H36" s="824"/>
      <c r="I36" s="309"/>
      <c r="J36" s="58"/>
    </row>
    <row r="37" spans="1:13" ht="12.75" customHeight="1" x14ac:dyDescent="0.25">
      <c r="B37" s="27" t="s">
        <v>48</v>
      </c>
      <c r="C37" s="61"/>
      <c r="D37" s="52"/>
      <c r="E37" s="52"/>
      <c r="F37" s="151">
        <v>1</v>
      </c>
      <c r="G37" s="824" t="s">
        <v>6</v>
      </c>
      <c r="H37" s="824"/>
      <c r="I37" s="309"/>
      <c r="J37" s="58"/>
    </row>
    <row r="38" spans="1:13" ht="12.75" customHeight="1" x14ac:dyDescent="0.25">
      <c r="B38" s="27" t="s">
        <v>49</v>
      </c>
      <c r="C38" s="52"/>
      <c r="D38" s="52"/>
      <c r="E38" s="52"/>
      <c r="F38" s="151">
        <v>2</v>
      </c>
      <c r="G38" s="824" t="s">
        <v>6</v>
      </c>
      <c r="H38" s="824"/>
      <c r="I38" s="309"/>
      <c r="J38" s="58"/>
    </row>
    <row r="39" spans="1:13" ht="4.5" customHeight="1" x14ac:dyDescent="0.25">
      <c r="A39" s="40"/>
      <c r="B39" s="40"/>
      <c r="C39" s="40"/>
      <c r="D39" s="1"/>
      <c r="E39" s="1"/>
      <c r="F39" s="201"/>
      <c r="G39" s="824"/>
      <c r="H39" s="824"/>
      <c r="I39" s="309"/>
      <c r="J39" s="58"/>
      <c r="K39" s="555"/>
      <c r="L39" s="555"/>
      <c r="M39" s="555"/>
    </row>
    <row r="40" spans="1:13" ht="12.75" customHeight="1" x14ac:dyDescent="0.25">
      <c r="B40" s="27" t="s">
        <v>141</v>
      </c>
      <c r="C40" s="61"/>
      <c r="D40" s="52"/>
      <c r="E40" s="52"/>
      <c r="F40" s="563"/>
      <c r="G40" s="824" t="s">
        <v>6</v>
      </c>
      <c r="H40" s="824"/>
      <c r="I40" s="309"/>
      <c r="J40" s="58"/>
    </row>
    <row r="41" spans="1:13" ht="12.75" customHeight="1" x14ac:dyDescent="0.25">
      <c r="B41" s="27" t="s">
        <v>142</v>
      </c>
      <c r="C41" s="61"/>
      <c r="D41" s="52"/>
      <c r="E41" s="52"/>
      <c r="F41" s="563"/>
      <c r="G41" s="824" t="s">
        <v>57</v>
      </c>
      <c r="H41" s="824"/>
      <c r="I41" s="309"/>
      <c r="J41" s="58"/>
    </row>
    <row r="42" spans="1:13" ht="12.75" customHeight="1" x14ac:dyDescent="0.25">
      <c r="B42" s="27" t="s">
        <v>143</v>
      </c>
      <c r="C42" s="61"/>
      <c r="D42" s="52"/>
      <c r="E42" s="52"/>
      <c r="F42" s="563"/>
      <c r="G42" s="824" t="s">
        <v>57</v>
      </c>
      <c r="H42" s="824"/>
      <c r="I42" s="309"/>
      <c r="J42" s="58"/>
    </row>
    <row r="43" spans="1:13" ht="12.75" customHeight="1" x14ac:dyDescent="0.25">
      <c r="B43" s="27" t="s">
        <v>144</v>
      </c>
      <c r="C43" s="61"/>
      <c r="D43" s="52"/>
      <c r="E43" s="52"/>
      <c r="F43" s="563"/>
      <c r="G43" s="824" t="s">
        <v>57</v>
      </c>
      <c r="H43" s="824"/>
      <c r="I43" s="309"/>
      <c r="J43" s="58"/>
    </row>
    <row r="44" spans="1:13" ht="12.75" customHeight="1" x14ac:dyDescent="0.25">
      <c r="B44" s="27" t="s">
        <v>145</v>
      </c>
      <c r="C44" s="61"/>
      <c r="D44" s="52"/>
      <c r="E44" s="52"/>
      <c r="F44" s="563"/>
      <c r="G44" s="824" t="s">
        <v>148</v>
      </c>
      <c r="H44" s="824"/>
      <c r="I44" s="309"/>
      <c r="J44" s="58"/>
    </row>
    <row r="45" spans="1:13" ht="12.75" customHeight="1" x14ac:dyDescent="0.25">
      <c r="B45" s="27" t="s">
        <v>146</v>
      </c>
      <c r="C45" s="61"/>
      <c r="D45" s="52"/>
      <c r="E45" s="52"/>
      <c r="F45" s="563"/>
      <c r="G45" s="824" t="s">
        <v>149</v>
      </c>
      <c r="H45" s="824"/>
      <c r="I45" s="309"/>
      <c r="J45" s="58"/>
    </row>
    <row r="46" spans="1:13" ht="12.75" customHeight="1" x14ac:dyDescent="0.25">
      <c r="B46" s="27" t="s">
        <v>147</v>
      </c>
      <c r="C46" s="61"/>
      <c r="D46" s="52"/>
      <c r="E46" s="52"/>
      <c r="F46" s="563"/>
      <c r="G46" s="824" t="s">
        <v>6</v>
      </c>
      <c r="H46" s="824"/>
      <c r="I46" s="309"/>
      <c r="J46" s="58"/>
    </row>
    <row r="47" spans="1:13" ht="4.5" customHeight="1" x14ac:dyDescent="0.25">
      <c r="A47" s="40"/>
      <c r="B47" s="40"/>
      <c r="C47" s="40"/>
      <c r="D47" s="1"/>
      <c r="E47" s="1"/>
      <c r="F47" s="201"/>
      <c r="G47" s="57"/>
      <c r="I47" s="309"/>
      <c r="J47" s="58"/>
      <c r="K47" s="555"/>
      <c r="L47" s="555"/>
      <c r="M47" s="555"/>
    </row>
    <row r="48" spans="1:13" ht="12.75" customHeight="1" x14ac:dyDescent="0.25">
      <c r="B48" s="25" t="s">
        <v>45</v>
      </c>
      <c r="C48" s="1"/>
      <c r="D48" s="202"/>
      <c r="E48" s="203"/>
      <c r="F48" s="204">
        <f>SUM(F35:F47)</f>
        <v>19</v>
      </c>
      <c r="G48" s="203"/>
      <c r="I48" s="309"/>
      <c r="J48" s="1"/>
    </row>
    <row r="49" spans="1:13" ht="12.95" customHeight="1" x14ac:dyDescent="0.25">
      <c r="B49" s="40"/>
      <c r="C49" s="1"/>
      <c r="D49" s="203"/>
      <c r="E49" s="203"/>
      <c r="F49" s="203"/>
      <c r="G49" s="203"/>
      <c r="H49" s="53"/>
      <c r="I49" s="309"/>
      <c r="J49" s="1"/>
      <c r="K49" s="555"/>
      <c r="L49" s="555"/>
      <c r="M49" s="555"/>
    </row>
    <row r="50" spans="1:13" s="143" customFormat="1" ht="12.95" customHeight="1" x14ac:dyDescent="0.25">
      <c r="A50" s="690" t="s">
        <v>171</v>
      </c>
      <c r="B50" s="690"/>
      <c r="C50" s="690"/>
      <c r="D50" s="690"/>
      <c r="E50" s="690"/>
      <c r="F50" s="690"/>
      <c r="G50" s="690"/>
      <c r="H50" s="690"/>
      <c r="I50" s="690"/>
      <c r="J50" s="147"/>
      <c r="K50" s="3"/>
    </row>
    <row r="51" spans="1:13" s="11" customFormat="1" ht="4.5" customHeight="1" x14ac:dyDescent="0.25">
      <c r="I51" s="2"/>
      <c r="J51" s="2"/>
    </row>
    <row r="52" spans="1:13" ht="14.25" customHeight="1" x14ac:dyDescent="0.25">
      <c r="A52" s="206" t="s">
        <v>11</v>
      </c>
      <c r="B52" s="206"/>
      <c r="C52" s="1"/>
      <c r="F52" s="230">
        <f>I30</f>
        <v>26500000</v>
      </c>
      <c r="I52" s="1"/>
      <c r="J52" s="18"/>
    </row>
    <row r="53" spans="1:13" ht="14.25" customHeight="1" x14ac:dyDescent="0.25">
      <c r="A53" s="28" t="s">
        <v>86</v>
      </c>
      <c r="B53" s="28"/>
      <c r="C53" s="28"/>
      <c r="D53" s="1"/>
      <c r="E53" s="1"/>
      <c r="F53" s="131">
        <f>0.0214*F48+0.9143</f>
        <v>1.3209</v>
      </c>
      <c r="G53" s="155"/>
      <c r="I53" s="550"/>
      <c r="J53" s="18"/>
    </row>
    <row r="54" spans="1:13" ht="14.25" customHeight="1" x14ac:dyDescent="0.25">
      <c r="A54" s="28" t="s">
        <v>320</v>
      </c>
      <c r="B54" s="28"/>
      <c r="C54" s="28"/>
      <c r="D54" s="1"/>
      <c r="E54" s="1"/>
      <c r="F54" s="439">
        <f>ROUND(IF(F52=0,"-",1.75*(-0.0778*LN(F52)+2.022)*F53/100),4)</f>
        <v>1.6E-2</v>
      </c>
      <c r="G54" s="449" t="s">
        <v>107</v>
      </c>
      <c r="I54" s="825" t="s">
        <v>329</v>
      </c>
      <c r="J54" s="825"/>
      <c r="K54" s="718"/>
    </row>
    <row r="55" spans="1:13" ht="14.25" customHeight="1" x14ac:dyDescent="0.3">
      <c r="A55" s="311" t="s">
        <v>168</v>
      </c>
      <c r="B55" s="25"/>
      <c r="C55" s="25"/>
      <c r="D55" s="312"/>
      <c r="E55" s="208"/>
      <c r="F55" s="319">
        <f>IF(F52=0,"-",ROUND(F52*F54,2))</f>
        <v>424000</v>
      </c>
      <c r="G55" s="551" t="s">
        <v>169</v>
      </c>
      <c r="H55" s="19"/>
      <c r="I55" s="825"/>
      <c r="J55" s="825"/>
      <c r="K55" s="718"/>
      <c r="L55" s="43"/>
      <c r="M55" s="43"/>
    </row>
    <row r="56" spans="1:13" ht="12.75" customHeight="1" x14ac:dyDescent="0.25">
      <c r="A56" s="39"/>
      <c r="B56" s="40"/>
      <c r="C56" s="40"/>
      <c r="D56" s="208"/>
      <c r="G56" s="209"/>
      <c r="H56" s="57"/>
      <c r="I56" s="41"/>
      <c r="J56" s="18"/>
      <c r="K56" s="555"/>
      <c r="L56" s="555"/>
      <c r="M56" s="555"/>
    </row>
    <row r="57" spans="1:13" s="143" customFormat="1" ht="12.95" customHeight="1" x14ac:dyDescent="0.25">
      <c r="A57" s="690" t="s">
        <v>170</v>
      </c>
      <c r="B57" s="690"/>
      <c r="C57" s="690"/>
      <c r="D57" s="690"/>
      <c r="E57" s="690"/>
      <c r="F57" s="690"/>
      <c r="G57" s="690"/>
      <c r="H57" s="690"/>
      <c r="I57" s="690"/>
      <c r="J57" s="147"/>
      <c r="K57" s="3"/>
    </row>
    <row r="58" spans="1:13" s="11" customFormat="1" ht="4.5" customHeight="1" x14ac:dyDescent="0.25">
      <c r="I58" s="2"/>
      <c r="J58" s="2"/>
    </row>
    <row r="59" spans="1:13" ht="12.75" customHeight="1" x14ac:dyDescent="0.25">
      <c r="A59" s="210" t="s">
        <v>35</v>
      </c>
      <c r="B59" s="210"/>
      <c r="C59" s="420"/>
      <c r="D59" s="1"/>
      <c r="E59" s="287">
        <v>0.2</v>
      </c>
      <c r="F59" s="313">
        <v>0.2</v>
      </c>
      <c r="G59" s="1"/>
      <c r="H59" s="212">
        <v>1</v>
      </c>
      <c r="I59" s="594">
        <f>IF($F$52=0,"-",$F$55*F59)</f>
        <v>84800</v>
      </c>
    </row>
    <row r="60" spans="1:13" ht="12.75" customHeight="1" x14ac:dyDescent="0.25">
      <c r="A60" s="210" t="s">
        <v>36</v>
      </c>
      <c r="B60" s="210"/>
      <c r="C60" s="420"/>
      <c r="D60" s="1"/>
      <c r="E60" s="288">
        <v>0.06</v>
      </c>
      <c r="F60" s="313">
        <v>0.06</v>
      </c>
      <c r="G60" s="1"/>
      <c r="H60" s="212">
        <v>2</v>
      </c>
      <c r="I60" s="594">
        <f t="shared" ref="I60:I71" si="0">IF($F$52=0,"-",$F$55*F60)</f>
        <v>25440</v>
      </c>
    </row>
    <row r="61" spans="1:13" ht="12.75" customHeight="1" x14ac:dyDescent="0.25">
      <c r="A61" s="210" t="s">
        <v>37</v>
      </c>
      <c r="B61" s="210"/>
      <c r="C61" s="420"/>
      <c r="D61" s="1"/>
      <c r="E61" s="288">
        <v>0.08</v>
      </c>
      <c r="F61" s="313">
        <v>0.08</v>
      </c>
      <c r="G61" s="1"/>
      <c r="H61" s="212">
        <v>3</v>
      </c>
      <c r="I61" s="594">
        <f t="shared" si="0"/>
        <v>33920</v>
      </c>
    </row>
    <row r="62" spans="1:13" ht="12.75" customHeight="1" x14ac:dyDescent="0.25">
      <c r="A62" s="210" t="s">
        <v>38</v>
      </c>
      <c r="B62" s="210"/>
      <c r="C62" s="420"/>
      <c r="D62" s="1"/>
      <c r="E62" s="288">
        <v>0.03</v>
      </c>
      <c r="F62" s="313">
        <v>0.03</v>
      </c>
      <c r="G62" s="1"/>
      <c r="H62" s="212">
        <v>4</v>
      </c>
      <c r="I62" s="594">
        <f t="shared" si="0"/>
        <v>12720</v>
      </c>
    </row>
    <row r="63" spans="1:13" ht="12.75" customHeight="1" x14ac:dyDescent="0.25">
      <c r="A63" s="210" t="s">
        <v>39</v>
      </c>
      <c r="B63" s="210"/>
      <c r="C63" s="420"/>
      <c r="D63" s="1"/>
      <c r="E63" s="288">
        <v>0.17</v>
      </c>
      <c r="F63" s="313">
        <v>0.17</v>
      </c>
      <c r="G63" s="1"/>
      <c r="H63" s="212">
        <v>5</v>
      </c>
      <c r="I63" s="594">
        <f t="shared" si="0"/>
        <v>72080</v>
      </c>
    </row>
    <row r="64" spans="1:13" ht="12.75" customHeight="1" x14ac:dyDescent="0.25">
      <c r="A64" s="210" t="s">
        <v>40</v>
      </c>
      <c r="B64" s="210"/>
      <c r="C64" s="420"/>
      <c r="D64" s="1"/>
      <c r="E64" s="288">
        <v>0.08</v>
      </c>
      <c r="F64" s="313">
        <v>0.08</v>
      </c>
      <c r="G64" s="1"/>
      <c r="H64" s="212">
        <v>6</v>
      </c>
      <c r="I64" s="594">
        <f t="shared" si="0"/>
        <v>33920</v>
      </c>
    </row>
    <row r="65" spans="1:13" ht="12.75" customHeight="1" x14ac:dyDescent="0.25">
      <c r="A65" s="210" t="s">
        <v>41</v>
      </c>
      <c r="B65" s="210"/>
      <c r="C65" s="420"/>
      <c r="D65" s="1"/>
      <c r="E65" s="288">
        <v>0.02</v>
      </c>
      <c r="F65" s="313">
        <v>0.02</v>
      </c>
      <c r="G65" s="1"/>
      <c r="H65" s="212"/>
      <c r="I65" s="594">
        <f t="shared" si="0"/>
        <v>8480</v>
      </c>
      <c r="K65" s="556"/>
      <c r="L65" s="556"/>
      <c r="M65" s="556"/>
    </row>
    <row r="66" spans="1:13" ht="12.75" customHeight="1" x14ac:dyDescent="0.25">
      <c r="A66" s="210" t="s">
        <v>42</v>
      </c>
      <c r="B66" s="210"/>
      <c r="C66" s="420"/>
      <c r="D66" s="1"/>
      <c r="E66" s="288">
        <v>0.03</v>
      </c>
      <c r="F66" s="313">
        <v>0.03</v>
      </c>
      <c r="G66" s="1"/>
      <c r="H66" s="212">
        <v>7</v>
      </c>
      <c r="I66" s="594">
        <f t="shared" si="0"/>
        <v>12720</v>
      </c>
      <c r="K66" s="556"/>
      <c r="L66" s="556"/>
      <c r="M66" s="556"/>
    </row>
    <row r="67" spans="1:13" ht="12.75" customHeight="1" x14ac:dyDescent="0.25">
      <c r="A67" s="193" t="s">
        <v>43</v>
      </c>
      <c r="B67" s="193"/>
      <c r="C67" s="420"/>
      <c r="D67" s="1"/>
      <c r="E67" s="288">
        <v>0.3</v>
      </c>
      <c r="F67" s="313">
        <v>0.3</v>
      </c>
      <c r="G67" s="1"/>
      <c r="H67" s="212">
        <v>8</v>
      </c>
      <c r="I67" s="594">
        <f t="shared" si="0"/>
        <v>127200</v>
      </c>
      <c r="K67" s="556"/>
      <c r="L67" s="556"/>
      <c r="M67" s="556"/>
    </row>
    <row r="68" spans="1:13" ht="12.75" customHeight="1" x14ac:dyDescent="0.25">
      <c r="A68" s="294" t="s">
        <v>44</v>
      </c>
      <c r="B68" s="294"/>
      <c r="C68" s="295"/>
      <c r="D68" s="1"/>
      <c r="E68" s="292">
        <v>0.03</v>
      </c>
      <c r="F68" s="313">
        <v>0.03</v>
      </c>
      <c r="G68" s="1"/>
      <c r="H68" s="296">
        <v>9</v>
      </c>
      <c r="I68" s="594">
        <f t="shared" si="0"/>
        <v>12720</v>
      </c>
      <c r="K68" s="556"/>
      <c r="L68" s="556"/>
      <c r="M68" s="556"/>
    </row>
    <row r="69" spans="1:13" s="303" customFormat="1" ht="12.75" customHeight="1" x14ac:dyDescent="0.25">
      <c r="A69" s="580" t="s">
        <v>164</v>
      </c>
      <c r="B69" s="580"/>
      <c r="C69" s="581"/>
      <c r="E69" s="582"/>
      <c r="F69" s="588">
        <v>0</v>
      </c>
      <c r="H69" s="583"/>
      <c r="I69" s="603">
        <f>IF($F$52=0,"-",$F$55*F69)</f>
        <v>0</v>
      </c>
      <c r="J69" s="301"/>
      <c r="K69" s="302"/>
      <c r="L69" s="302"/>
      <c r="M69" s="302"/>
    </row>
    <row r="70" spans="1:13" s="303" customFormat="1" ht="12.75" customHeight="1" x14ac:dyDescent="0.25">
      <c r="A70" s="580" t="s">
        <v>164</v>
      </c>
      <c r="B70" s="580"/>
      <c r="C70" s="581"/>
      <c r="E70" s="582"/>
      <c r="F70" s="588">
        <v>0</v>
      </c>
      <c r="H70" s="583"/>
      <c r="I70" s="603">
        <f>IF($F$52=0,"-",$F$55*F70)</f>
        <v>0</v>
      </c>
      <c r="J70" s="301"/>
      <c r="K70" s="302"/>
      <c r="L70" s="302"/>
      <c r="M70" s="302"/>
    </row>
    <row r="71" spans="1:13" s="303" customFormat="1" ht="12.75" customHeight="1" x14ac:dyDescent="0.25">
      <c r="A71" s="297" t="s">
        <v>164</v>
      </c>
      <c r="B71" s="297"/>
      <c r="C71" s="298"/>
      <c r="D71" s="299"/>
      <c r="E71" s="300"/>
      <c r="F71" s="589">
        <v>0</v>
      </c>
      <c r="G71" s="299"/>
      <c r="H71" s="314"/>
      <c r="I71" s="596">
        <f t="shared" si="0"/>
        <v>0</v>
      </c>
      <c r="J71" s="301"/>
      <c r="K71" s="302"/>
      <c r="L71" s="302"/>
      <c r="M71" s="302"/>
    </row>
    <row r="72" spans="1:13" ht="12.75" customHeight="1" x14ac:dyDescent="0.25">
      <c r="A72" s="213" t="s">
        <v>190</v>
      </c>
      <c r="B72" s="193"/>
      <c r="C72" s="28"/>
      <c r="D72" s="1"/>
      <c r="E72" s="384">
        <f>SUM(E59:E71)</f>
        <v>1</v>
      </c>
      <c r="F72" s="214">
        <f>SUM(F59:F71)</f>
        <v>1</v>
      </c>
      <c r="H72" s="214"/>
      <c r="I72" s="594">
        <f>SUM(I59:I71)</f>
        <v>424000</v>
      </c>
      <c r="K72" s="556"/>
      <c r="L72" s="556"/>
      <c r="M72" s="556"/>
    </row>
    <row r="73" spans="1:13" ht="12.75" customHeight="1" x14ac:dyDescent="0.25">
      <c r="I73" s="514"/>
      <c r="K73" s="556"/>
      <c r="L73" s="556"/>
      <c r="M73" s="556"/>
    </row>
    <row r="74" spans="1:13" s="143" customFormat="1" ht="12.95" customHeight="1" x14ac:dyDescent="0.25">
      <c r="A74" s="690" t="s">
        <v>172</v>
      </c>
      <c r="B74" s="690"/>
      <c r="C74" s="690"/>
      <c r="D74" s="690"/>
      <c r="E74" s="690"/>
      <c r="F74" s="690"/>
      <c r="G74" s="690"/>
      <c r="H74" s="690"/>
      <c r="I74" s="690"/>
      <c r="J74" s="147"/>
      <c r="K74" s="3"/>
    </row>
    <row r="75" spans="1:13" s="11" customFormat="1" ht="4.5" customHeight="1" x14ac:dyDescent="0.25">
      <c r="I75" s="2"/>
      <c r="J75" s="2"/>
    </row>
    <row r="76" spans="1:13" ht="12.75" customHeight="1" x14ac:dyDescent="0.3">
      <c r="A76" s="311" t="s">
        <v>34</v>
      </c>
      <c r="E76" s="316"/>
      <c r="F76" s="575"/>
      <c r="G76" s="828"/>
      <c r="H76" s="829"/>
      <c r="I76" s="171">
        <f>I72</f>
        <v>424000</v>
      </c>
      <c r="K76" s="556"/>
      <c r="L76" s="556"/>
      <c r="M76" s="556"/>
    </row>
    <row r="77" spans="1:13" ht="12.75" customHeight="1" x14ac:dyDescent="0.25">
      <c r="A77" s="48" t="s">
        <v>113</v>
      </c>
      <c r="F77" s="386">
        <v>0</v>
      </c>
      <c r="G77" s="831">
        <v>100</v>
      </c>
      <c r="H77" s="832"/>
      <c r="I77" s="171">
        <f>F77*G77</f>
        <v>0</v>
      </c>
      <c r="K77" s="556"/>
      <c r="L77" s="556"/>
      <c r="M77" s="556"/>
    </row>
    <row r="78" spans="1:13" s="11" customFormat="1" ht="4.5" customHeight="1" x14ac:dyDescent="0.25">
      <c r="I78" s="2"/>
      <c r="J78" s="2"/>
    </row>
    <row r="79" spans="1:13" s="32" customFormat="1" ht="12.75" x14ac:dyDescent="0.2">
      <c r="A79" s="557" t="s">
        <v>249</v>
      </c>
      <c r="B79" s="558"/>
      <c r="C79" s="559"/>
      <c r="D79" s="559"/>
      <c r="E79" s="129"/>
      <c r="F79" s="560"/>
      <c r="G79" s="560"/>
      <c r="H79" s="560"/>
      <c r="I79" s="167">
        <f>I76+I77</f>
        <v>424000</v>
      </c>
      <c r="J79" s="36"/>
      <c r="K79" s="81"/>
      <c r="L79" s="82"/>
      <c r="M79" s="83"/>
    </row>
    <row r="80" spans="1:13" s="32" customFormat="1" ht="4.5" customHeight="1" x14ac:dyDescent="0.2">
      <c r="B80" s="33"/>
      <c r="C80" s="34"/>
      <c r="D80" s="34"/>
      <c r="E80" s="66"/>
      <c r="F80" s="67"/>
      <c r="G80" s="93"/>
      <c r="I80" s="168"/>
      <c r="J80" s="36"/>
      <c r="K80" s="36"/>
      <c r="L80" s="84"/>
      <c r="M80" s="85"/>
    </row>
    <row r="81" spans="1:13" s="32" customFormat="1" ht="12.75" x14ac:dyDescent="0.2">
      <c r="A81" s="68" t="s">
        <v>13</v>
      </c>
      <c r="B81" s="33"/>
      <c r="C81" s="34"/>
      <c r="D81" s="34"/>
      <c r="E81" s="76"/>
      <c r="F81" s="570">
        <v>0.04</v>
      </c>
      <c r="G81" s="94"/>
      <c r="H81" s="37"/>
      <c r="I81" s="169">
        <f>IF(F48=0,"-",ROUND(I79*F81,2))</f>
        <v>16960</v>
      </c>
      <c r="J81" s="36"/>
      <c r="K81" s="86"/>
      <c r="L81" s="84"/>
      <c r="M81" s="85"/>
    </row>
    <row r="82" spans="1:13" s="32" customFormat="1" ht="3" customHeight="1" x14ac:dyDescent="0.2">
      <c r="A82" s="69"/>
      <c r="B82" s="70"/>
      <c r="C82" s="71"/>
      <c r="D82" s="71"/>
      <c r="E82" s="77"/>
      <c r="F82" s="240"/>
      <c r="G82" s="95"/>
      <c r="H82" s="69"/>
      <c r="I82" s="170"/>
      <c r="J82" s="36"/>
      <c r="K82" s="36"/>
      <c r="L82" s="84"/>
      <c r="M82" s="85"/>
    </row>
    <row r="83" spans="1:13" s="32" customFormat="1" ht="3" customHeight="1" x14ac:dyDescent="0.2">
      <c r="B83" s="33"/>
      <c r="C83" s="34"/>
      <c r="D83" s="34"/>
      <c r="E83" s="79"/>
      <c r="F83" s="241"/>
      <c r="G83" s="96"/>
      <c r="H83" s="80"/>
      <c r="I83" s="168"/>
      <c r="J83" s="36"/>
      <c r="K83" s="36"/>
      <c r="L83" s="84"/>
      <c r="M83" s="85"/>
    </row>
    <row r="84" spans="1:13" s="32" customFormat="1" ht="3" customHeight="1" x14ac:dyDescent="0.2">
      <c r="A84" s="37"/>
      <c r="B84" s="231"/>
      <c r="C84" s="78"/>
      <c r="D84" s="78"/>
      <c r="E84" s="72"/>
      <c r="F84" s="67"/>
      <c r="G84" s="93"/>
      <c r="I84" s="173"/>
      <c r="J84" s="36"/>
      <c r="K84" s="36"/>
      <c r="L84" s="84"/>
      <c r="M84" s="85"/>
    </row>
    <row r="85" spans="1:13" s="32" customFormat="1" ht="12.75" x14ac:dyDescent="0.2">
      <c r="A85" s="557" t="s">
        <v>250</v>
      </c>
      <c r="B85" s="558"/>
      <c r="C85" s="559"/>
      <c r="D85" s="559"/>
      <c r="E85" s="129"/>
      <c r="F85" s="560"/>
      <c r="G85" s="560"/>
      <c r="H85" s="560"/>
      <c r="I85" s="167">
        <f>SUM(I79:I83)</f>
        <v>440960</v>
      </c>
      <c r="J85" s="36"/>
      <c r="K85" s="81"/>
      <c r="L85" s="82"/>
      <c r="M85" s="83"/>
    </row>
    <row r="86" spans="1:13" s="32" customFormat="1" ht="4.5" customHeight="1" x14ac:dyDescent="0.2">
      <c r="B86" s="33"/>
      <c r="C86" s="34"/>
      <c r="D86" s="34"/>
      <c r="E86" s="66"/>
      <c r="F86" s="67"/>
      <c r="G86" s="93"/>
      <c r="I86" s="168"/>
      <c r="J86" s="36"/>
      <c r="K86" s="36"/>
      <c r="L86" s="84"/>
      <c r="M86" s="85"/>
    </row>
    <row r="87" spans="1:13" s="32" customFormat="1" ht="12.75" x14ac:dyDescent="0.2">
      <c r="A87" s="68" t="s">
        <v>150</v>
      </c>
      <c r="B87" s="33"/>
      <c r="C87" s="34"/>
      <c r="D87" s="34"/>
      <c r="E87" s="76"/>
      <c r="F87" s="570">
        <v>0</v>
      </c>
      <c r="G87" s="94"/>
      <c r="H87" s="37"/>
      <c r="I87" s="169">
        <f>IF(F52=0,"-",ROUND(I85*F87,2))</f>
        <v>0</v>
      </c>
      <c r="J87" s="36"/>
      <c r="K87" s="86"/>
      <c r="L87" s="84"/>
      <c r="M87" s="85"/>
    </row>
    <row r="88" spans="1:13" s="32" customFormat="1" ht="3" customHeight="1" x14ac:dyDescent="0.2">
      <c r="A88" s="69"/>
      <c r="B88" s="70"/>
      <c r="C88" s="71"/>
      <c r="D88" s="71"/>
      <c r="E88" s="77"/>
      <c r="F88" s="240"/>
      <c r="G88" s="95"/>
      <c r="H88" s="69"/>
      <c r="I88" s="170"/>
      <c r="J88" s="36"/>
      <c r="K88" s="36"/>
      <c r="L88" s="84"/>
      <c r="M88" s="85"/>
    </row>
    <row r="89" spans="1:13" s="32" customFormat="1" ht="3" customHeight="1" x14ac:dyDescent="0.2">
      <c r="B89" s="33"/>
      <c r="C89" s="34"/>
      <c r="D89" s="34"/>
      <c r="E89" s="79"/>
      <c r="F89" s="241"/>
      <c r="G89" s="96"/>
      <c r="H89" s="80"/>
      <c r="I89" s="168"/>
      <c r="J89" s="36"/>
      <c r="K89" s="36"/>
      <c r="L89" s="84"/>
      <c r="M89" s="85"/>
    </row>
    <row r="90" spans="1:13" s="32" customFormat="1" ht="12.75" x14ac:dyDescent="0.2">
      <c r="A90" s="557" t="s">
        <v>251</v>
      </c>
      <c r="B90" s="558"/>
      <c r="C90" s="559"/>
      <c r="D90" s="559"/>
      <c r="E90" s="129"/>
      <c r="F90" s="560"/>
      <c r="G90" s="560"/>
      <c r="H90" s="560"/>
      <c r="I90" s="167">
        <f>I85+I87</f>
        <v>440960</v>
      </c>
      <c r="J90" s="36"/>
      <c r="K90" s="81"/>
      <c r="L90" s="82"/>
      <c r="M90" s="83"/>
    </row>
    <row r="91" spans="1:13" s="159" customFormat="1" ht="4.5" customHeight="1" x14ac:dyDescent="0.2">
      <c r="A91" s="73"/>
      <c r="B91" s="74"/>
      <c r="C91" s="75"/>
      <c r="D91" s="75"/>
      <c r="E91" s="615"/>
      <c r="I91" s="171"/>
      <c r="J91" s="36"/>
      <c r="K91" s="81"/>
      <c r="L91" s="82"/>
      <c r="M91" s="83"/>
    </row>
    <row r="92" spans="1:13" s="32" customFormat="1" ht="12.75" x14ac:dyDescent="0.2">
      <c r="A92" s="32" t="s">
        <v>14</v>
      </c>
      <c r="B92" s="33"/>
      <c r="D92" s="34"/>
      <c r="E92" s="72"/>
      <c r="F92" s="38">
        <v>0.2</v>
      </c>
      <c r="G92" s="38"/>
      <c r="I92" s="172">
        <f>IF(F52=0,"-",ROUND(I90*F92,2))</f>
        <v>88192</v>
      </c>
      <c r="J92" s="36"/>
      <c r="K92" s="36"/>
      <c r="L92" s="84"/>
      <c r="M92" s="90"/>
    </row>
    <row r="93" spans="1:13" s="32" customFormat="1" ht="3" customHeight="1" x14ac:dyDescent="0.2">
      <c r="A93" s="37"/>
      <c r="B93" s="231"/>
      <c r="C93" s="78"/>
      <c r="D93" s="78"/>
      <c r="E93" s="72"/>
      <c r="F93" s="67"/>
      <c r="G93" s="93"/>
      <c r="I93" s="173"/>
      <c r="J93" s="36"/>
      <c r="K93" s="36"/>
      <c r="L93" s="84"/>
      <c r="M93" s="85"/>
    </row>
    <row r="94" spans="1:13" s="37" customFormat="1" ht="12.75" x14ac:dyDescent="0.2">
      <c r="A94" s="564" t="s">
        <v>252</v>
      </c>
      <c r="B94" s="569"/>
      <c r="C94" s="565"/>
      <c r="D94" s="565"/>
      <c r="E94" s="226"/>
      <c r="F94" s="567"/>
      <c r="G94" s="567"/>
      <c r="H94" s="566"/>
      <c r="I94" s="233">
        <f>SUM(I89:I92)</f>
        <v>529152</v>
      </c>
      <c r="J94" s="36"/>
      <c r="K94" s="87"/>
      <c r="L94" s="88"/>
      <c r="M94" s="89"/>
    </row>
    <row r="95" spans="1:13" ht="5.0999999999999996" customHeight="1" x14ac:dyDescent="0.25">
      <c r="K95" s="556"/>
      <c r="L95" s="556"/>
      <c r="M95" s="556"/>
    </row>
  </sheetData>
  <mergeCells count="27">
    <mergeCell ref="A28:B28"/>
    <mergeCell ref="I54:J55"/>
    <mergeCell ref="H3:I3"/>
    <mergeCell ref="A8:B8"/>
    <mergeCell ref="A10:B10"/>
    <mergeCell ref="A12:B12"/>
    <mergeCell ref="A14:B14"/>
    <mergeCell ref="A16:B16"/>
    <mergeCell ref="A18:B18"/>
    <mergeCell ref="A20:B20"/>
    <mergeCell ref="A22:B22"/>
    <mergeCell ref="A24:B24"/>
    <mergeCell ref="G34:H34"/>
    <mergeCell ref="G35:H35"/>
    <mergeCell ref="G36:H36"/>
    <mergeCell ref="G37:H37"/>
    <mergeCell ref="G38:H38"/>
    <mergeCell ref="G39:H39"/>
    <mergeCell ref="G40:H40"/>
    <mergeCell ref="G41:H41"/>
    <mergeCell ref="G77:H77"/>
    <mergeCell ref="G42:H42"/>
    <mergeCell ref="G43:H43"/>
    <mergeCell ref="G44:H44"/>
    <mergeCell ref="G45:H45"/>
    <mergeCell ref="G46:H46"/>
    <mergeCell ref="G76:H76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&amp;L&amp;"Arial,Fett"&amp;10&amp;K969696Vergabemodelle&amp;R&amp;"Arial,Fett"&amp;10&amp;K969696Vertrag Generalplanung - Anhang 3</oddHeader>
    <oddFooter>&amp;L&amp;"Arial,Fett"&amp;9&amp;K01+014Leitfaden Vergabe technische Beratung &amp; Planung &amp;R&amp;"Arial,Standard"&amp;9&amp;K01+014 Juni 2018                              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</sheetPr>
  <dimension ref="A1:O100"/>
  <sheetViews>
    <sheetView showGridLines="0" tabSelected="1" view="pageLayout" topLeftCell="A70" zoomScaleNormal="85" zoomScaleSheetLayoutView="100" workbookViewId="0">
      <selection activeCell="D49" sqref="D49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42" customWidth="1"/>
    <col min="10" max="10" width="2.7109375" style="1" customWidth="1"/>
    <col min="11" max="11" width="22.7109375" customWidth="1"/>
    <col min="12" max="12" width="5.7109375" style="554" customWidth="1"/>
    <col min="13" max="13" width="25.7109375" style="554" customWidth="1"/>
    <col min="15" max="16384" width="11.5703125" style="1"/>
  </cols>
  <sheetData>
    <row r="1" spans="1:14" ht="5.0999999999999996" customHeight="1" x14ac:dyDescent="0.2">
      <c r="F1" s="8"/>
      <c r="G1" s="42"/>
      <c r="H1" s="9"/>
      <c r="I1" s="10"/>
      <c r="J1" s="18"/>
      <c r="K1" s="1"/>
      <c r="L1" s="1"/>
      <c r="M1" s="1"/>
      <c r="N1" s="1"/>
    </row>
    <row r="2" spans="1:14" s="54" customFormat="1" ht="35.1" customHeight="1" x14ac:dyDescent="0.2">
      <c r="A2" s="137"/>
      <c r="C2" s="13"/>
      <c r="D2" s="103"/>
      <c r="F2" s="820" t="s">
        <v>330</v>
      </c>
      <c r="G2" s="820"/>
      <c r="H2" s="820"/>
      <c r="I2" s="820"/>
      <c r="J2" s="62"/>
    </row>
    <row r="3" spans="1:14" s="143" customFormat="1" ht="12.95" customHeight="1" x14ac:dyDescent="0.25">
      <c r="A3" s="573" t="s">
        <v>106</v>
      </c>
      <c r="B3" s="573"/>
      <c r="C3" s="573"/>
      <c r="D3" s="573"/>
      <c r="E3" s="573"/>
      <c r="F3" s="573"/>
      <c r="G3" s="573"/>
      <c r="H3" s="573"/>
      <c r="I3" s="573"/>
      <c r="J3" s="147"/>
    </row>
    <row r="4" spans="1:14" s="11" customFormat="1" ht="6" customHeight="1" x14ac:dyDescent="0.25">
      <c r="I4" s="2"/>
      <c r="J4" s="2"/>
    </row>
    <row r="5" spans="1:14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J5" s="45"/>
    </row>
    <row r="6" spans="1:14" s="11" customFormat="1" ht="6" customHeight="1" x14ac:dyDescent="0.25">
      <c r="F6" s="98"/>
      <c r="I6" s="2"/>
      <c r="J6" s="2"/>
    </row>
    <row r="7" spans="1:14" s="12" customFormat="1" ht="12.95" customHeight="1" x14ac:dyDescent="0.2">
      <c r="A7" s="821">
        <v>1</v>
      </c>
      <c r="B7" s="821"/>
      <c r="C7" s="106"/>
      <c r="D7" s="107" t="s">
        <v>0</v>
      </c>
      <c r="E7" s="388">
        <f>F7/_1_9</f>
        <v>2.1739888766278866E-3</v>
      </c>
      <c r="F7" s="389">
        <f>_1</f>
        <v>70000</v>
      </c>
      <c r="G7" s="104"/>
      <c r="H7" s="135">
        <v>0</v>
      </c>
      <c r="I7" s="389">
        <f>F7*H7</f>
        <v>0</v>
      </c>
      <c r="J7" s="50"/>
    </row>
    <row r="8" spans="1:14" ht="2.25" customHeight="1" x14ac:dyDescent="0.2">
      <c r="B8" s="4"/>
      <c r="C8" s="6"/>
      <c r="D8" s="1"/>
      <c r="E8" s="161"/>
      <c r="F8" s="174"/>
      <c r="G8" s="1"/>
      <c r="H8" s="631"/>
      <c r="I8" s="174"/>
      <c r="J8" s="63"/>
      <c r="K8" s="1"/>
      <c r="L8" s="1"/>
      <c r="M8" s="1"/>
      <c r="N8" s="1"/>
    </row>
    <row r="9" spans="1:14" s="12" customFormat="1" ht="12.75" customHeight="1" x14ac:dyDescent="0.2">
      <c r="A9" s="821">
        <v>2</v>
      </c>
      <c r="B9" s="821"/>
      <c r="C9" s="106"/>
      <c r="D9" s="107" t="s">
        <v>1</v>
      </c>
      <c r="E9" s="388">
        <f>F9/_1_9</f>
        <v>0.27951285556644256</v>
      </c>
      <c r="F9" s="389">
        <f>_2</f>
        <v>9000000</v>
      </c>
      <c r="G9" s="104"/>
      <c r="H9" s="135">
        <v>1</v>
      </c>
      <c r="I9" s="389">
        <f>F9*H9</f>
        <v>9000000</v>
      </c>
      <c r="J9" s="50"/>
    </row>
    <row r="10" spans="1:14" ht="2.25" customHeight="1" x14ac:dyDescent="0.2">
      <c r="B10" s="13"/>
      <c r="C10" s="13"/>
      <c r="D10" s="14"/>
      <c r="E10" s="161"/>
      <c r="F10" s="175"/>
      <c r="G10" s="1"/>
      <c r="H10" s="631"/>
      <c r="I10" s="175"/>
      <c r="J10" s="50"/>
      <c r="K10" s="1"/>
      <c r="L10" s="1"/>
      <c r="M10" s="1"/>
      <c r="N10" s="1"/>
    </row>
    <row r="11" spans="1:14" s="11" customFormat="1" ht="12.95" customHeight="1" x14ac:dyDescent="0.2">
      <c r="A11" s="821">
        <v>3</v>
      </c>
      <c r="B11" s="821"/>
      <c r="C11" s="106"/>
      <c r="D11" s="107" t="s">
        <v>7</v>
      </c>
      <c r="E11" s="833">
        <f>F11/_1_9</f>
        <v>0.25156157000979829</v>
      </c>
      <c r="F11" s="835">
        <f>_3</f>
        <v>8100000</v>
      </c>
      <c r="G11" s="104"/>
      <c r="H11" s="135">
        <v>1</v>
      </c>
      <c r="I11" s="705">
        <f>IF(_3&gt;(_2+_4)*0.5,(_2+_4)*0.5,_3)</f>
        <v>7750000</v>
      </c>
      <c r="J11" s="50"/>
      <c r="K11" s="836" t="s">
        <v>321</v>
      </c>
      <c r="L11" s="836"/>
      <c r="M11" s="704">
        <f>(_2+_4)*0.5</f>
        <v>7750000</v>
      </c>
      <c r="N11" s="11" t="s">
        <v>433</v>
      </c>
    </row>
    <row r="12" spans="1:14" s="11" customFormat="1" ht="12.95" customHeight="1" x14ac:dyDescent="0.2">
      <c r="A12" s="821"/>
      <c r="B12" s="821"/>
      <c r="C12" s="106"/>
      <c r="D12" s="107" t="s">
        <v>167</v>
      </c>
      <c r="E12" s="834"/>
      <c r="F12" s="835"/>
      <c r="H12" s="598">
        <f>IF(_3&gt;(_2+_4)*0.5,50%,0)</f>
        <v>0.5</v>
      </c>
      <c r="I12" s="389">
        <f>IF(_3&gt;(_2+_4)*0.5,(F11-I11)*H12,0)</f>
        <v>175000</v>
      </c>
      <c r="J12" s="606"/>
      <c r="K12" s="836"/>
      <c r="L12" s="836"/>
      <c r="M12" s="814">
        <f>IF(F11-M11&lt;0, "keine Abminderung",F11-M11)</f>
        <v>350000</v>
      </c>
      <c r="N12" s="11" t="s">
        <v>434</v>
      </c>
    </row>
    <row r="13" spans="1:14" ht="2.25" customHeight="1" x14ac:dyDescent="0.2">
      <c r="B13" s="13"/>
      <c r="C13" s="13"/>
      <c r="D13" s="14"/>
      <c r="E13" s="161"/>
      <c r="F13" s="158"/>
      <c r="G13" s="1"/>
      <c r="H13" s="630"/>
      <c r="I13" s="158"/>
      <c r="J13" s="49"/>
      <c r="K13" s="836"/>
      <c r="L13" s="836"/>
      <c r="M13" s="1"/>
      <c r="N13" s="1"/>
    </row>
    <row r="14" spans="1:14" s="11" customFormat="1" ht="12.75" customHeight="1" x14ac:dyDescent="0.2">
      <c r="A14" s="821">
        <v>4</v>
      </c>
      <c r="B14" s="821"/>
      <c r="C14" s="106"/>
      <c r="D14" s="107" t="s">
        <v>2</v>
      </c>
      <c r="E14" s="388">
        <f>F14/_1_9</f>
        <v>0.20187039568687518</v>
      </c>
      <c r="F14" s="389">
        <f>_4</f>
        <v>6500000</v>
      </c>
      <c r="G14" s="104"/>
      <c r="H14" s="135">
        <v>1</v>
      </c>
      <c r="I14" s="389">
        <f>F14*H14</f>
        <v>6500000</v>
      </c>
      <c r="J14" s="50"/>
      <c r="K14" s="836"/>
      <c r="L14" s="836"/>
      <c r="M14" s="703">
        <f>M12/2</f>
        <v>175000</v>
      </c>
      <c r="N14" s="11" t="s">
        <v>435</v>
      </c>
    </row>
    <row r="15" spans="1:14" ht="2.25" customHeight="1" x14ac:dyDescent="0.2">
      <c r="B15" s="4"/>
      <c r="C15" s="6"/>
      <c r="D15" s="1"/>
      <c r="E15" s="161"/>
      <c r="F15" s="158"/>
      <c r="G15" s="1"/>
      <c r="H15" s="632"/>
      <c r="I15" s="158"/>
      <c r="J15" s="48"/>
      <c r="K15" s="836"/>
      <c r="L15" s="836"/>
      <c r="M15" s="1"/>
      <c r="N15" s="1"/>
    </row>
    <row r="16" spans="1:14" s="12" customFormat="1" ht="12.95" customHeight="1" x14ac:dyDescent="0.2">
      <c r="A16" s="821">
        <v>5</v>
      </c>
      <c r="B16" s="821"/>
      <c r="C16" s="106"/>
      <c r="D16" s="107" t="s">
        <v>9</v>
      </c>
      <c r="E16" s="388">
        <f>F16/_1_9</f>
        <v>5.1244023520514471E-2</v>
      </c>
      <c r="F16" s="389">
        <f>_5</f>
        <v>1650000</v>
      </c>
      <c r="G16" s="104"/>
      <c r="H16" s="135">
        <v>0</v>
      </c>
      <c r="I16" s="180">
        <f>H16*F16</f>
        <v>0</v>
      </c>
      <c r="J16" s="50"/>
      <c r="K16" s="836"/>
      <c r="L16" s="836"/>
    </row>
    <row r="17" spans="1:14" ht="2.25" customHeight="1" x14ac:dyDescent="0.2">
      <c r="B17" s="13"/>
      <c r="C17" s="13"/>
      <c r="D17" s="14"/>
      <c r="E17" s="161"/>
      <c r="F17" s="175"/>
      <c r="G17" s="1"/>
      <c r="H17" s="631"/>
      <c r="I17" s="175"/>
      <c r="J17" s="50"/>
      <c r="K17" s="1"/>
      <c r="L17" s="1"/>
      <c r="M17" s="1"/>
      <c r="N17" s="1"/>
    </row>
    <row r="18" spans="1:14" s="11" customFormat="1" ht="12.75" customHeight="1" x14ac:dyDescent="0.2">
      <c r="A18" s="821">
        <v>6</v>
      </c>
      <c r="B18" s="821"/>
      <c r="C18" s="106"/>
      <c r="D18" s="107" t="s">
        <v>3</v>
      </c>
      <c r="E18" s="388">
        <f>F18/_1_9</f>
        <v>1.5528491975913475E-2</v>
      </c>
      <c r="F18" s="389">
        <f>_6</f>
        <v>500000</v>
      </c>
      <c r="G18" s="104"/>
      <c r="H18" s="135">
        <v>0</v>
      </c>
      <c r="I18" s="389">
        <f>F18*H18</f>
        <v>0</v>
      </c>
      <c r="J18" s="50"/>
    </row>
    <row r="19" spans="1:14" ht="2.25" customHeight="1" x14ac:dyDescent="0.2">
      <c r="B19" s="17"/>
      <c r="C19" s="5"/>
      <c r="D19" s="1"/>
      <c r="E19" s="164"/>
      <c r="F19" s="158"/>
      <c r="G19" s="1"/>
      <c r="H19" s="632"/>
      <c r="I19" s="158"/>
      <c r="J19" s="50"/>
      <c r="K19" s="1"/>
      <c r="L19" s="1"/>
      <c r="M19" s="1"/>
      <c r="N19" s="1"/>
    </row>
    <row r="20" spans="1:14" s="12" customFormat="1" ht="12.95" customHeight="1" x14ac:dyDescent="0.2">
      <c r="A20" s="821">
        <v>7</v>
      </c>
      <c r="B20" s="821"/>
      <c r="C20" s="106"/>
      <c r="D20" s="107" t="s">
        <v>166</v>
      </c>
      <c r="E20" s="388">
        <f>F20/_1_9</f>
        <v>0.14729944861863917</v>
      </c>
      <c r="F20" s="389">
        <f>_7</f>
        <v>4742876.7985686567</v>
      </c>
      <c r="G20" s="104"/>
      <c r="H20" s="135">
        <v>0</v>
      </c>
      <c r="I20" s="389">
        <f>F20*H20</f>
        <v>0</v>
      </c>
      <c r="J20" s="50"/>
    </row>
    <row r="21" spans="1:14" ht="2.25" customHeight="1" x14ac:dyDescent="0.2">
      <c r="B21" s="13"/>
      <c r="C21" s="13"/>
      <c r="D21" s="14"/>
      <c r="E21" s="164"/>
      <c r="F21" s="175"/>
      <c r="G21" s="1"/>
      <c r="H21" s="631"/>
      <c r="I21" s="175"/>
      <c r="J21" s="50"/>
      <c r="K21" s="1"/>
      <c r="L21" s="1"/>
      <c r="M21" s="1"/>
      <c r="N21" s="1"/>
    </row>
    <row r="22" spans="1:14" s="12" customFormat="1" ht="12.95" customHeight="1" x14ac:dyDescent="0.2">
      <c r="A22" s="821">
        <v>8</v>
      </c>
      <c r="B22" s="821"/>
      <c r="C22" s="106"/>
      <c r="D22" s="107" t="s">
        <v>165</v>
      </c>
      <c r="E22" s="388">
        <f>F22/_1_9</f>
        <v>1.1180514222657702E-3</v>
      </c>
      <c r="F22" s="389">
        <f>_8</f>
        <v>36000</v>
      </c>
      <c r="G22" s="104"/>
      <c r="H22" s="135">
        <v>0</v>
      </c>
      <c r="I22" s="389">
        <f>F22*H22</f>
        <v>0</v>
      </c>
      <c r="J22" s="50"/>
    </row>
    <row r="23" spans="1:14" ht="2.25" customHeight="1" x14ac:dyDescent="0.2">
      <c r="B23" s="13"/>
      <c r="C23" s="13"/>
      <c r="D23" s="14"/>
      <c r="E23" s="164"/>
      <c r="F23" s="158"/>
      <c r="G23" s="1"/>
      <c r="H23" s="630"/>
      <c r="I23" s="158"/>
      <c r="J23" s="49"/>
      <c r="K23" s="1"/>
      <c r="L23" s="1"/>
      <c r="M23" s="1"/>
      <c r="N23" s="1"/>
    </row>
    <row r="24" spans="1:14" s="12" customFormat="1" ht="12.95" customHeight="1" x14ac:dyDescent="0.2">
      <c r="A24" s="821">
        <v>9</v>
      </c>
      <c r="B24" s="821"/>
      <c r="C24" s="106"/>
      <c r="D24" s="107" t="s">
        <v>10</v>
      </c>
      <c r="E24" s="388">
        <f>F24/_1_9</f>
        <v>4.9691174322923123E-2</v>
      </c>
      <c r="F24" s="389">
        <f>_9</f>
        <v>1600000</v>
      </c>
      <c r="G24" s="104"/>
      <c r="H24" s="135">
        <v>0.2</v>
      </c>
      <c r="I24" s="389">
        <f>F24*H24</f>
        <v>320000</v>
      </c>
      <c r="J24" s="50"/>
    </row>
    <row r="25" spans="1:14" ht="12" customHeight="1" x14ac:dyDescent="0.2">
      <c r="B25" s="17"/>
      <c r="C25" s="5"/>
      <c r="D25" s="1"/>
      <c r="E25" s="47"/>
      <c r="F25" s="1"/>
      <c r="G25" s="1"/>
      <c r="H25" s="1"/>
      <c r="I25" s="1"/>
      <c r="K25" s="1"/>
      <c r="L25" s="1"/>
      <c r="M25" s="1"/>
      <c r="N25" s="1"/>
    </row>
    <row r="26" spans="1:14" s="141" customFormat="1" ht="12.95" customHeight="1" x14ac:dyDescent="0.25">
      <c r="A26" s="538" t="s">
        <v>12</v>
      </c>
      <c r="B26" s="539"/>
      <c r="C26" s="539"/>
      <c r="D26" s="539"/>
      <c r="E26" s="148">
        <f>SUM(E7:E24)</f>
        <v>0.99999999999999989</v>
      </c>
      <c r="F26" s="146">
        <f>SUM(F7+F9+F11+F14+F16+F18+F20+F22+F24)</f>
        <v>32198876.798568659</v>
      </c>
      <c r="G26" s="149"/>
      <c r="H26" s="191"/>
      <c r="I26" s="146">
        <f>SUM(I7:I24)</f>
        <v>23745000</v>
      </c>
      <c r="J26" s="3"/>
    </row>
    <row r="27" spans="1:14" ht="4.5" customHeight="1" x14ac:dyDescent="0.25">
      <c r="B27" s="13"/>
      <c r="C27" s="13"/>
      <c r="D27" s="14"/>
      <c r="E27" s="47"/>
      <c r="F27" s="14"/>
      <c r="G27" s="1"/>
      <c r="H27" s="19"/>
      <c r="I27" s="15"/>
      <c r="J27" s="18"/>
      <c r="K27" s="30"/>
      <c r="L27" s="555"/>
      <c r="N27" s="1"/>
    </row>
    <row r="28" spans="1:14" s="11" customFormat="1" ht="12.95" customHeight="1" x14ac:dyDescent="0.2">
      <c r="A28" s="821"/>
      <c r="B28" s="821"/>
      <c r="C28" s="106" t="s">
        <v>432</v>
      </c>
      <c r="D28" s="107"/>
      <c r="E28" s="803"/>
      <c r="F28" s="389">
        <f>_mvB</f>
        <v>110000</v>
      </c>
      <c r="G28" s="104"/>
      <c r="H28" s="135">
        <v>1</v>
      </c>
      <c r="I28" s="389">
        <f>F28*H28</f>
        <v>110000</v>
      </c>
      <c r="J28" s="50"/>
    </row>
    <row r="29" spans="1:14" ht="4.5" customHeight="1" x14ac:dyDescent="0.2">
      <c r="B29" s="13"/>
      <c r="C29" s="13"/>
      <c r="D29" s="14"/>
      <c r="E29" s="47"/>
      <c r="F29" s="14"/>
      <c r="G29" s="1"/>
      <c r="H29" s="19"/>
      <c r="I29" s="15"/>
      <c r="J29" s="18"/>
      <c r="K29" s="1"/>
      <c r="L29" s="1"/>
      <c r="M29" s="1"/>
      <c r="N29" s="1"/>
    </row>
    <row r="30" spans="1:14" s="143" customFormat="1" ht="12.95" customHeight="1" x14ac:dyDescent="0.25">
      <c r="A30" s="321" t="s">
        <v>32</v>
      </c>
      <c r="B30" s="539"/>
      <c r="C30" s="539"/>
      <c r="D30" s="539"/>
      <c r="E30" s="539"/>
      <c r="F30" s="539"/>
      <c r="G30" s="539"/>
      <c r="H30" s="320"/>
      <c r="I30" s="146">
        <f>SUM(I26:I28)</f>
        <v>23855000</v>
      </c>
      <c r="J30" s="147"/>
    </row>
    <row r="31" spans="1:14" ht="13.5" customHeight="1" x14ac:dyDescent="0.25">
      <c r="A31" s="193"/>
      <c r="B31" s="193"/>
      <c r="C31" s="193"/>
      <c r="D31" s="210"/>
      <c r="E31" s="215"/>
      <c r="F31" s="215"/>
      <c r="G31" s="210"/>
      <c r="H31" s="215"/>
      <c r="I31" s="215"/>
      <c r="J31" s="208"/>
    </row>
    <row r="32" spans="1:14" s="143" customFormat="1" ht="12.95" customHeight="1" x14ac:dyDescent="0.25">
      <c r="A32" s="573" t="s">
        <v>83</v>
      </c>
      <c r="B32" s="573"/>
      <c r="C32" s="573"/>
      <c r="D32" s="573"/>
      <c r="E32" s="573"/>
      <c r="F32" s="573"/>
      <c r="G32" s="573"/>
      <c r="H32" s="573"/>
      <c r="I32" s="573"/>
      <c r="J32" s="147"/>
    </row>
    <row r="33" spans="1:14" s="11" customFormat="1" ht="4.5" customHeight="1" x14ac:dyDescent="0.25">
      <c r="I33" s="2"/>
      <c r="J33" s="2"/>
    </row>
    <row r="34" spans="1:14" ht="12.75" customHeight="1" x14ac:dyDescent="0.25">
      <c r="A34" s="25"/>
      <c r="B34" s="25"/>
      <c r="C34" s="25"/>
      <c r="D34" s="1"/>
      <c r="E34" s="1"/>
      <c r="F34" s="197" t="s">
        <v>5</v>
      </c>
      <c r="H34" s="198" t="s">
        <v>4</v>
      </c>
      <c r="J34" s="604"/>
    </row>
    <row r="35" spans="1:14" ht="12.75" customHeight="1" x14ac:dyDescent="0.25">
      <c r="B35" s="26" t="s">
        <v>46</v>
      </c>
      <c r="C35" s="60"/>
      <c r="D35" s="51"/>
      <c r="E35" s="51"/>
      <c r="F35" s="151">
        <v>20</v>
      </c>
      <c r="G35" s="199"/>
      <c r="H35" s="199" t="s">
        <v>58</v>
      </c>
      <c r="J35" s="604"/>
    </row>
    <row r="36" spans="1:14" ht="12.75" customHeight="1" x14ac:dyDescent="0.25">
      <c r="B36" s="27" t="s">
        <v>47</v>
      </c>
      <c r="C36" s="61"/>
      <c r="D36" s="52"/>
      <c r="E36" s="52"/>
      <c r="F36" s="151">
        <v>2</v>
      </c>
      <c r="G36" s="200"/>
      <c r="H36" s="200" t="s">
        <v>6</v>
      </c>
      <c r="J36" s="604"/>
    </row>
    <row r="37" spans="1:14" ht="12.75" customHeight="1" x14ac:dyDescent="0.25">
      <c r="B37" s="27" t="s">
        <v>48</v>
      </c>
      <c r="C37" s="61"/>
      <c r="D37" s="52"/>
      <c r="E37" s="52"/>
      <c r="F37" s="151">
        <v>1</v>
      </c>
      <c r="G37" s="200"/>
      <c r="H37" s="200" t="s">
        <v>6</v>
      </c>
      <c r="J37" s="604"/>
    </row>
    <row r="38" spans="1:14" ht="12.75" customHeight="1" x14ac:dyDescent="0.25">
      <c r="B38" s="27" t="s">
        <v>49</v>
      </c>
      <c r="C38" s="52"/>
      <c r="D38" s="52"/>
      <c r="E38" s="52"/>
      <c r="F38" s="151">
        <v>2</v>
      </c>
      <c r="G38" s="200"/>
      <c r="H38" s="200" t="s">
        <v>6</v>
      </c>
      <c r="J38" s="604"/>
    </row>
    <row r="39" spans="1:14" ht="4.5" customHeight="1" x14ac:dyDescent="0.25">
      <c r="A39" s="40"/>
      <c r="B39" s="40"/>
      <c r="C39" s="40"/>
      <c r="D39" s="1"/>
      <c r="E39" s="1"/>
      <c r="F39" s="201"/>
      <c r="G39" s="201"/>
      <c r="H39" s="201"/>
      <c r="J39" s="201"/>
      <c r="K39" s="31"/>
      <c r="L39" s="555"/>
      <c r="M39" s="555"/>
      <c r="N39" s="31"/>
    </row>
    <row r="40" spans="1:14" ht="12.75" customHeight="1" x14ac:dyDescent="0.25">
      <c r="B40" s="27" t="s">
        <v>141</v>
      </c>
      <c r="C40" s="61"/>
      <c r="D40" s="52"/>
      <c r="E40" s="52"/>
      <c r="F40" s="152"/>
      <c r="G40" s="200"/>
      <c r="H40" s="200" t="s">
        <v>6</v>
      </c>
      <c r="J40" s="604"/>
    </row>
    <row r="41" spans="1:14" ht="12.75" customHeight="1" x14ac:dyDescent="0.25">
      <c r="B41" s="27" t="s">
        <v>142</v>
      </c>
      <c r="C41" s="61"/>
      <c r="D41" s="52"/>
      <c r="E41" s="52"/>
      <c r="F41" s="152"/>
      <c r="G41" s="200"/>
      <c r="H41" s="200" t="s">
        <v>57</v>
      </c>
      <c r="J41" s="604"/>
    </row>
    <row r="42" spans="1:14" ht="12.75" customHeight="1" x14ac:dyDescent="0.25">
      <c r="B42" s="27" t="s">
        <v>143</v>
      </c>
      <c r="C42" s="61"/>
      <c r="D42" s="52"/>
      <c r="E42" s="52"/>
      <c r="F42" s="152"/>
      <c r="G42" s="200"/>
      <c r="H42" s="200" t="s">
        <v>157</v>
      </c>
      <c r="J42" s="604"/>
    </row>
    <row r="43" spans="1:14" ht="12.75" customHeight="1" x14ac:dyDescent="0.25">
      <c r="B43" s="27" t="s">
        <v>144</v>
      </c>
      <c r="C43" s="61"/>
      <c r="D43" s="52"/>
      <c r="E43" s="52"/>
      <c r="F43" s="152"/>
      <c r="G43" s="200"/>
      <c r="H43" s="200" t="s">
        <v>157</v>
      </c>
      <c r="J43" s="604"/>
    </row>
    <row r="44" spans="1:14" ht="12.75" customHeight="1" x14ac:dyDescent="0.25">
      <c r="B44" s="27" t="s">
        <v>145</v>
      </c>
      <c r="C44" s="61"/>
      <c r="D44" s="52"/>
      <c r="E44" s="52"/>
      <c r="F44" s="152"/>
      <c r="G44" s="200"/>
      <c r="H44" s="200" t="s">
        <v>158</v>
      </c>
      <c r="J44" s="604"/>
    </row>
    <row r="45" spans="1:14" ht="12.75" customHeight="1" x14ac:dyDescent="0.25">
      <c r="B45" s="27" t="s">
        <v>146</v>
      </c>
      <c r="C45" s="61"/>
      <c r="D45" s="52"/>
      <c r="E45" s="52"/>
      <c r="F45" s="152"/>
      <c r="G45" s="200"/>
      <c r="H45" s="200" t="s">
        <v>159</v>
      </c>
      <c r="J45" s="604"/>
    </row>
    <row r="46" spans="1:14" ht="12.75" customHeight="1" x14ac:dyDescent="0.25">
      <c r="B46" s="27" t="s">
        <v>151</v>
      </c>
      <c r="C46" s="61"/>
      <c r="D46" s="52"/>
      <c r="E46" s="52"/>
      <c r="F46" s="152"/>
      <c r="G46" s="200"/>
      <c r="H46" s="200" t="s">
        <v>149</v>
      </c>
      <c r="J46" s="604"/>
    </row>
    <row r="47" spans="1:14" ht="12.75" customHeight="1" x14ac:dyDescent="0.25">
      <c r="B47" s="27" t="s">
        <v>152</v>
      </c>
      <c r="C47" s="61"/>
      <c r="D47" s="52"/>
      <c r="E47" s="52"/>
      <c r="F47" s="152"/>
      <c r="G47" s="200"/>
      <c r="H47" s="200" t="s">
        <v>157</v>
      </c>
      <c r="J47" s="604"/>
    </row>
    <row r="48" spans="1:14" ht="12.75" customHeight="1" x14ac:dyDescent="0.25">
      <c r="B48" s="27" t="s">
        <v>153</v>
      </c>
      <c r="C48" s="61"/>
      <c r="D48" s="52"/>
      <c r="E48" s="52"/>
      <c r="F48" s="152"/>
      <c r="G48" s="200"/>
      <c r="H48" s="200" t="s">
        <v>160</v>
      </c>
      <c r="J48" s="604"/>
    </row>
    <row r="49" spans="1:14" ht="12.75" customHeight="1" x14ac:dyDescent="0.25">
      <c r="B49" s="27" t="s">
        <v>154</v>
      </c>
      <c r="C49" s="61"/>
      <c r="D49" s="52"/>
      <c r="E49" s="52"/>
      <c r="F49" s="152"/>
      <c r="G49" s="200"/>
      <c r="H49" s="200" t="s">
        <v>161</v>
      </c>
      <c r="J49" s="604"/>
    </row>
    <row r="50" spans="1:14" ht="12.75" customHeight="1" x14ac:dyDescent="0.25">
      <c r="B50" s="27" t="s">
        <v>155</v>
      </c>
      <c r="C50" s="61"/>
      <c r="D50" s="52"/>
      <c r="E50" s="52"/>
      <c r="F50" s="152"/>
      <c r="G50" s="200"/>
      <c r="H50" s="200" t="s">
        <v>162</v>
      </c>
      <c r="J50" s="604"/>
    </row>
    <row r="51" spans="1:14" ht="12.75" customHeight="1" x14ac:dyDescent="0.25">
      <c r="B51" s="27" t="s">
        <v>156</v>
      </c>
      <c r="C51" s="61"/>
      <c r="D51" s="52"/>
      <c r="E51" s="52"/>
      <c r="F51" s="152"/>
      <c r="G51" s="200"/>
      <c r="H51" s="200" t="s">
        <v>163</v>
      </c>
      <c r="J51" s="604"/>
    </row>
    <row r="52" spans="1:14" ht="4.5" customHeight="1" x14ac:dyDescent="0.25">
      <c r="A52" s="40"/>
      <c r="B52" s="40"/>
      <c r="C52" s="1"/>
      <c r="D52" s="203"/>
      <c r="E52" s="203"/>
      <c r="F52" s="203"/>
      <c r="G52" s="203"/>
      <c r="H52" s="203"/>
      <c r="I52" s="203"/>
      <c r="J52" s="203"/>
      <c r="K52" s="31"/>
      <c r="L52" s="555"/>
      <c r="M52" s="555"/>
      <c r="N52" s="31"/>
    </row>
    <row r="53" spans="1:14" ht="12.75" customHeight="1" x14ac:dyDescent="0.25">
      <c r="B53" s="25" t="s">
        <v>45</v>
      </c>
      <c r="C53" s="1"/>
      <c r="D53" s="202"/>
      <c r="E53" s="203"/>
      <c r="F53" s="204">
        <f>SUM(F35:F51)</f>
        <v>25</v>
      </c>
      <c r="H53" s="203"/>
      <c r="I53" s="203"/>
      <c r="J53" s="203"/>
    </row>
    <row r="54" spans="1:14" ht="12.95" customHeight="1" x14ac:dyDescent="0.2">
      <c r="B54" s="40"/>
      <c r="C54" s="1"/>
      <c r="D54" s="203"/>
      <c r="E54" s="203"/>
      <c r="F54" s="203"/>
      <c r="G54" s="203"/>
      <c r="H54" s="53"/>
      <c r="I54" s="309"/>
      <c r="K54" s="1"/>
      <c r="L54" s="1"/>
      <c r="M54" s="1"/>
      <c r="N54" s="1"/>
    </row>
    <row r="55" spans="1:14" s="143" customFormat="1" ht="12.95" customHeight="1" x14ac:dyDescent="0.25">
      <c r="A55" s="573" t="s">
        <v>171</v>
      </c>
      <c r="B55" s="573"/>
      <c r="C55" s="573"/>
      <c r="D55" s="573"/>
      <c r="E55" s="573"/>
      <c r="F55" s="573"/>
      <c r="G55" s="573"/>
      <c r="H55" s="573"/>
      <c r="I55" s="573"/>
      <c r="J55" s="147"/>
    </row>
    <row r="56" spans="1:14" s="11" customFormat="1" ht="4.5" customHeight="1" x14ac:dyDescent="0.25">
      <c r="I56" s="2"/>
      <c r="J56" s="2"/>
    </row>
    <row r="57" spans="1:14" ht="14.25" customHeight="1" x14ac:dyDescent="0.25">
      <c r="A57" s="206" t="s">
        <v>11</v>
      </c>
      <c r="B57" s="206"/>
      <c r="C57" s="1"/>
      <c r="F57" s="230">
        <f>I30</f>
        <v>23855000</v>
      </c>
      <c r="G57" s="1"/>
      <c r="H57" s="218"/>
    </row>
    <row r="58" spans="1:14" ht="14.25" customHeight="1" x14ac:dyDescent="0.25">
      <c r="A58" s="28" t="s">
        <v>85</v>
      </c>
      <c r="B58" s="28"/>
      <c r="C58" s="28"/>
      <c r="D58" s="1"/>
      <c r="E58" s="1"/>
      <c r="F58" s="131">
        <f>0.0198*F53+0.9406</f>
        <v>1.4356</v>
      </c>
      <c r="G58" s="1"/>
      <c r="H58" s="132"/>
      <c r="I58" s="155"/>
    </row>
    <row r="59" spans="1:14" ht="14.25" customHeight="1" x14ac:dyDescent="0.25">
      <c r="A59" s="28" t="s">
        <v>97</v>
      </c>
      <c r="B59" s="28"/>
      <c r="C59" s="28"/>
      <c r="D59" s="1"/>
      <c r="E59" s="1"/>
      <c r="F59" s="251">
        <f>ROUND(IF(F57&lt;2000000,40*F57^(-0.1208)*F58/100,(12.2611*F57^(-0.0394)*F58)/100),4)</f>
        <v>9.01E-2</v>
      </c>
      <c r="G59" s="1"/>
      <c r="H59" s="219"/>
    </row>
    <row r="60" spans="1:14" ht="14.25" customHeight="1" x14ac:dyDescent="0.25">
      <c r="A60" s="28" t="s">
        <v>87</v>
      </c>
      <c r="B60" s="28"/>
      <c r="C60" s="28"/>
      <c r="D60" s="1"/>
      <c r="E60" s="1"/>
      <c r="F60" s="207">
        <f>40*F57^(-0.1208)*F58/100</f>
        <v>7.3770350508192112E-2</v>
      </c>
      <c r="G60" s="1"/>
      <c r="H60" s="252" t="str">
        <f>IF(F57&lt;2000000,"(PL + ÖBA)","")</f>
        <v/>
      </c>
      <c r="I60" s="1"/>
    </row>
    <row r="61" spans="1:14" ht="14.25" customHeight="1" x14ac:dyDescent="0.25">
      <c r="A61" s="28" t="s">
        <v>88</v>
      </c>
      <c r="B61" s="28"/>
      <c r="C61" s="28"/>
      <c r="D61" s="28"/>
      <c r="E61" s="1"/>
      <c r="F61" s="207">
        <f>(12.2611*F57^(-0.0394)*F58)/100</f>
        <v>9.0133504019359739E-2</v>
      </c>
      <c r="G61" s="253" t="str">
        <f>IF(F57&gt;1999999.99,"(PL + ÖBA)","")</f>
        <v>(PL + ÖBA)</v>
      </c>
      <c r="H61" s="1"/>
      <c r="I61" s="1"/>
    </row>
    <row r="62" spans="1:14" ht="14.25" customHeight="1" x14ac:dyDescent="0.3">
      <c r="A62" s="311" t="s">
        <v>89</v>
      </c>
      <c r="B62" s="25"/>
      <c r="C62" s="25"/>
      <c r="D62" s="312"/>
      <c r="E62" s="208"/>
      <c r="F62" s="323">
        <f>ROUND(F57*F59,2)</f>
        <v>2149335.5</v>
      </c>
      <c r="G62" s="551" t="s">
        <v>169</v>
      </c>
      <c r="H62" s="209"/>
      <c r="I62" s="209"/>
      <c r="J62" s="209"/>
      <c r="K62" s="43"/>
      <c r="L62" s="43"/>
      <c r="M62" s="43"/>
      <c r="N62" s="43"/>
    </row>
    <row r="63" spans="1:14" ht="4.5" customHeight="1" x14ac:dyDescent="0.25">
      <c r="A63" s="39"/>
      <c r="B63" s="40"/>
      <c r="C63" s="40"/>
      <c r="D63" s="208"/>
      <c r="E63" s="208"/>
      <c r="F63" s="208"/>
      <c r="G63" s="209"/>
      <c r="H63" s="209"/>
      <c r="I63" s="209"/>
      <c r="J63" s="209"/>
      <c r="K63" s="31"/>
      <c r="L63" s="555"/>
      <c r="M63" s="555"/>
      <c r="N63" s="31"/>
    </row>
    <row r="64" spans="1:14" ht="12.95" customHeight="1" x14ac:dyDescent="0.25">
      <c r="A64" s="716" t="s">
        <v>170</v>
      </c>
      <c r="B64" s="716"/>
      <c r="C64" s="716"/>
      <c r="D64" s="716"/>
      <c r="E64" s="716"/>
      <c r="F64" s="716"/>
      <c r="G64" s="716"/>
      <c r="H64" s="716"/>
      <c r="I64" s="716"/>
      <c r="J64" s="209"/>
      <c r="K64" s="709" t="s">
        <v>290</v>
      </c>
      <c r="L64" s="708"/>
      <c r="M64" s="665"/>
      <c r="N64" s="31"/>
    </row>
    <row r="65" spans="1:14" ht="4.5" customHeight="1" x14ac:dyDescent="0.25">
      <c r="A65" s="325"/>
      <c r="B65" s="325"/>
      <c r="C65" s="325"/>
      <c r="D65" s="325"/>
      <c r="E65" s="325"/>
      <c r="F65" s="325"/>
      <c r="G65" s="325"/>
      <c r="H65" s="325"/>
      <c r="I65" s="325"/>
      <c r="J65" s="209"/>
      <c r="K65" s="709"/>
      <c r="L65" s="708"/>
      <c r="M65" s="665"/>
      <c r="N65" s="555"/>
    </row>
    <row r="66" spans="1:14" ht="12.75" customHeight="1" x14ac:dyDescent="0.25">
      <c r="A66" s="210" t="s">
        <v>98</v>
      </c>
      <c r="B66" s="210"/>
      <c r="C66" s="211"/>
      <c r="D66" s="1"/>
      <c r="E66" s="290">
        <v>0.02</v>
      </c>
      <c r="F66" s="243">
        <v>0.02</v>
      </c>
      <c r="G66" s="1"/>
      <c r="H66" s="212">
        <v>1</v>
      </c>
      <c r="I66" s="594">
        <f>IF($F$57=0,"-",$F$62*F66)</f>
        <v>42986.71</v>
      </c>
      <c r="J66" s="220"/>
      <c r="K66" s="711" t="s">
        <v>285</v>
      </c>
      <c r="L66" s="710">
        <v>8.9999999999999993E-3</v>
      </c>
      <c r="M66" s="665"/>
    </row>
    <row r="67" spans="1:14" ht="12.75" customHeight="1" x14ac:dyDescent="0.25">
      <c r="A67" s="210" t="s">
        <v>36</v>
      </c>
      <c r="B67" s="210"/>
      <c r="C67" s="211"/>
      <c r="D67" s="1"/>
      <c r="E67" s="290">
        <v>0.08</v>
      </c>
      <c r="F67" s="244">
        <v>0.08</v>
      </c>
      <c r="G67" s="1"/>
      <c r="H67" s="212">
        <v>2</v>
      </c>
      <c r="I67" s="594">
        <f t="shared" ref="I67:I78" si="0">IF($F$57=0,"-",$F$62*F67)</f>
        <v>171946.84</v>
      </c>
      <c r="J67" s="220"/>
      <c r="K67" s="712" t="s">
        <v>286</v>
      </c>
      <c r="L67" s="710">
        <v>0.03</v>
      </c>
      <c r="M67" s="665"/>
    </row>
    <row r="68" spans="1:14" ht="12.75" customHeight="1" x14ac:dyDescent="0.25">
      <c r="A68" s="210" t="s">
        <v>37</v>
      </c>
      <c r="B68" s="210"/>
      <c r="C68" s="211"/>
      <c r="D68" s="1"/>
      <c r="E68" s="290">
        <v>0.12</v>
      </c>
      <c r="F68" s="244">
        <v>0.12</v>
      </c>
      <c r="G68" s="1"/>
      <c r="H68" s="212">
        <v>3</v>
      </c>
      <c r="I68" s="594">
        <f t="shared" si="0"/>
        <v>257920.25999999998</v>
      </c>
      <c r="J68" s="220"/>
      <c r="K68" s="712" t="s">
        <v>287</v>
      </c>
      <c r="L68" s="710"/>
      <c r="M68" s="665"/>
    </row>
    <row r="69" spans="1:14" ht="12.75" customHeight="1" x14ac:dyDescent="0.25">
      <c r="A69" s="210" t="s">
        <v>38</v>
      </c>
      <c r="B69" s="210"/>
      <c r="C69" s="211"/>
      <c r="D69" s="1"/>
      <c r="E69" s="290">
        <v>0.05</v>
      </c>
      <c r="F69" s="244">
        <v>0.05</v>
      </c>
      <c r="G69" s="1"/>
      <c r="H69" s="212">
        <v>4</v>
      </c>
      <c r="I69" s="594">
        <f t="shared" si="0"/>
        <v>107466.77500000001</v>
      </c>
      <c r="J69" s="220"/>
      <c r="K69" s="712" t="s">
        <v>288</v>
      </c>
      <c r="L69" s="710">
        <v>0.01</v>
      </c>
      <c r="M69" s="665"/>
    </row>
    <row r="70" spans="1:14" ht="12.75" customHeight="1" x14ac:dyDescent="0.25">
      <c r="A70" s="210" t="s">
        <v>39</v>
      </c>
      <c r="B70" s="210"/>
      <c r="C70" s="211"/>
      <c r="D70" s="1"/>
      <c r="E70" s="290">
        <v>0.22</v>
      </c>
      <c r="F70" s="244">
        <v>0.22</v>
      </c>
      <c r="G70" s="1"/>
      <c r="H70" s="212">
        <v>5</v>
      </c>
      <c r="I70" s="594">
        <f t="shared" si="0"/>
        <v>472853.81</v>
      </c>
      <c r="J70" s="220"/>
      <c r="K70" s="712" t="s">
        <v>289</v>
      </c>
      <c r="L70" s="710">
        <v>0.01</v>
      </c>
      <c r="M70" s="665"/>
    </row>
    <row r="71" spans="1:14" ht="12.75" customHeight="1" x14ac:dyDescent="0.25">
      <c r="A71" s="210" t="s">
        <v>40</v>
      </c>
      <c r="B71" s="210"/>
      <c r="C71" s="211"/>
      <c r="D71" s="1"/>
      <c r="E71" s="290">
        <v>0.06</v>
      </c>
      <c r="F71" s="244">
        <v>0.06</v>
      </c>
      <c r="G71" s="1"/>
      <c r="H71" s="212">
        <v>6</v>
      </c>
      <c r="I71" s="594">
        <f t="shared" si="0"/>
        <v>128960.12999999999</v>
      </c>
      <c r="J71" s="220"/>
      <c r="K71" s="712" t="s">
        <v>291</v>
      </c>
      <c r="L71" s="710"/>
      <c r="M71" s="665"/>
    </row>
    <row r="72" spans="1:14" ht="12.75" customHeight="1" x14ac:dyDescent="0.25">
      <c r="A72" s="210" t="s">
        <v>41</v>
      </c>
      <c r="B72" s="210"/>
      <c r="C72" s="211"/>
      <c r="D72" s="1"/>
      <c r="E72" s="290">
        <v>0.02</v>
      </c>
      <c r="F72" s="244">
        <v>0.02</v>
      </c>
      <c r="G72" s="1"/>
      <c r="H72" s="212"/>
      <c r="I72" s="594">
        <f t="shared" si="0"/>
        <v>42986.71</v>
      </c>
      <c r="J72" s="220"/>
      <c r="K72" s="712" t="s">
        <v>292</v>
      </c>
      <c r="L72" s="710"/>
      <c r="M72" s="665"/>
      <c r="N72" s="44"/>
    </row>
    <row r="73" spans="1:14" ht="12.75" customHeight="1" x14ac:dyDescent="0.25">
      <c r="A73" s="210" t="s">
        <v>54</v>
      </c>
      <c r="B73" s="210"/>
      <c r="C73" s="211"/>
      <c r="D73" s="1"/>
      <c r="E73" s="290">
        <v>0.04</v>
      </c>
      <c r="F73" s="244">
        <v>0.04</v>
      </c>
      <c r="G73" s="1"/>
      <c r="H73" s="212">
        <v>7</v>
      </c>
      <c r="I73" s="594">
        <f t="shared" si="0"/>
        <v>85973.42</v>
      </c>
      <c r="J73" s="220"/>
      <c r="K73" s="712" t="s">
        <v>293</v>
      </c>
      <c r="L73" s="708"/>
      <c r="M73" s="665"/>
      <c r="N73" s="44"/>
    </row>
    <row r="74" spans="1:14" ht="12.75" customHeight="1" x14ac:dyDescent="0.25">
      <c r="A74" s="193" t="s">
        <v>43</v>
      </c>
      <c r="B74" s="193"/>
      <c r="C74" s="211"/>
      <c r="D74" s="1"/>
      <c r="E74" s="290">
        <v>0.37</v>
      </c>
      <c r="F74" s="244">
        <v>0.37</v>
      </c>
      <c r="G74" s="1"/>
      <c r="H74" s="212">
        <v>8</v>
      </c>
      <c r="I74" s="594">
        <f t="shared" si="0"/>
        <v>795254.13500000001</v>
      </c>
      <c r="J74" s="220"/>
      <c r="K74" s="712" t="s">
        <v>294</v>
      </c>
      <c r="L74" s="708"/>
      <c r="M74" s="665"/>
      <c r="N74" s="44"/>
    </row>
    <row r="75" spans="1:14" ht="12.75" customHeight="1" x14ac:dyDescent="0.25">
      <c r="A75" s="294" t="s">
        <v>55</v>
      </c>
      <c r="B75" s="294"/>
      <c r="C75" s="295"/>
      <c r="D75" s="1"/>
      <c r="E75" s="307">
        <v>0.02</v>
      </c>
      <c r="F75" s="429">
        <v>0.02</v>
      </c>
      <c r="G75" s="1"/>
      <c r="H75" s="296">
        <v>9</v>
      </c>
      <c r="I75" s="594">
        <f t="shared" si="0"/>
        <v>42986.71</v>
      </c>
      <c r="J75" s="220"/>
      <c r="K75" s="712" t="s">
        <v>295</v>
      </c>
      <c r="L75" s="708"/>
      <c r="M75" s="665"/>
      <c r="N75" s="44"/>
    </row>
    <row r="76" spans="1:14" s="303" customFormat="1" ht="12.75" customHeight="1" x14ac:dyDescent="0.25">
      <c r="A76" s="580" t="s">
        <v>164</v>
      </c>
      <c r="B76" s="580"/>
      <c r="C76" s="581"/>
      <c r="E76" s="601"/>
      <c r="F76" s="593">
        <v>0</v>
      </c>
      <c r="G76" s="602"/>
      <c r="H76" s="602"/>
      <c r="I76" s="595">
        <f t="shared" si="0"/>
        <v>0</v>
      </c>
      <c r="J76" s="306"/>
      <c r="K76" s="712" t="s">
        <v>296</v>
      </c>
      <c r="L76" s="708"/>
      <c r="M76" s="665"/>
      <c r="N76" s="302"/>
    </row>
    <row r="77" spans="1:14" s="303" customFormat="1" ht="12.75" customHeight="1" x14ac:dyDescent="0.25">
      <c r="A77" s="580" t="s">
        <v>164</v>
      </c>
      <c r="B77" s="580"/>
      <c r="C77" s="581"/>
      <c r="E77" s="601"/>
      <c r="F77" s="593">
        <v>0</v>
      </c>
      <c r="G77" s="602"/>
      <c r="H77" s="602"/>
      <c r="I77" s="595">
        <f t="shared" si="0"/>
        <v>0</v>
      </c>
      <c r="J77" s="306"/>
      <c r="K77" s="712" t="s">
        <v>297</v>
      </c>
      <c r="L77" s="708"/>
      <c r="M77" s="665"/>
      <c r="N77" s="302"/>
    </row>
    <row r="78" spans="1:14" s="303" customFormat="1" ht="12.75" customHeight="1" x14ac:dyDescent="0.25">
      <c r="A78" s="297" t="s">
        <v>164</v>
      </c>
      <c r="B78" s="297"/>
      <c r="C78" s="298"/>
      <c r="D78" s="299"/>
      <c r="E78" s="304"/>
      <c r="F78" s="587">
        <v>0</v>
      </c>
      <c r="G78" s="305"/>
      <c r="H78" s="305"/>
      <c r="I78" s="595">
        <f t="shared" si="0"/>
        <v>0</v>
      </c>
      <c r="J78" s="306"/>
      <c r="K78" s="712" t="s">
        <v>298</v>
      </c>
      <c r="L78" s="708"/>
      <c r="M78" s="665"/>
      <c r="N78" s="302"/>
    </row>
    <row r="79" spans="1:14" ht="12.75" customHeight="1" x14ac:dyDescent="0.25">
      <c r="A79" s="213" t="s">
        <v>190</v>
      </c>
      <c r="B79" s="193"/>
      <c r="C79" s="28"/>
      <c r="D79" s="1"/>
      <c r="E79" s="289">
        <f>SUM(E66:E78)</f>
        <v>1</v>
      </c>
      <c r="F79" s="246">
        <f>SUM(F66:F78)</f>
        <v>1</v>
      </c>
      <c r="G79" s="214"/>
      <c r="H79" s="214"/>
      <c r="I79" s="600">
        <f>SUM(I66:I78)</f>
        <v>2149335.5</v>
      </c>
      <c r="J79" s="217"/>
      <c r="K79" s="665"/>
      <c r="L79" s="665"/>
      <c r="M79" s="665"/>
      <c r="N79" s="44"/>
    </row>
    <row r="80" spans="1:14" ht="12.95" customHeight="1" x14ac:dyDescent="0.25">
      <c r="G80" s="139"/>
      <c r="K80" s="44"/>
      <c r="L80" s="556"/>
      <c r="M80" s="556"/>
      <c r="N80" s="44"/>
    </row>
    <row r="81" spans="1:14" s="143" customFormat="1" ht="12.95" customHeight="1" x14ac:dyDescent="0.25">
      <c r="A81" s="573" t="s">
        <v>172</v>
      </c>
      <c r="B81" s="573"/>
      <c r="C81" s="573"/>
      <c r="D81" s="573"/>
      <c r="E81" s="573"/>
      <c r="F81" s="573"/>
      <c r="G81" s="573"/>
      <c r="H81" s="573"/>
      <c r="I81" s="573"/>
      <c r="J81" s="147"/>
    </row>
    <row r="82" spans="1:14" s="11" customFormat="1" ht="4.5" customHeight="1" x14ac:dyDescent="0.25">
      <c r="I82" s="2"/>
      <c r="J82" s="2"/>
    </row>
    <row r="83" spans="1:14" ht="12.75" customHeight="1" x14ac:dyDescent="0.3">
      <c r="A83" s="311" t="s">
        <v>89</v>
      </c>
      <c r="E83" s="316"/>
      <c r="F83" s="575"/>
      <c r="G83" s="828"/>
      <c r="H83" s="829"/>
      <c r="I83" s="171">
        <f>I79</f>
        <v>2149335.5</v>
      </c>
      <c r="J83" s="18"/>
      <c r="K83" s="1"/>
      <c r="L83" s="1"/>
      <c r="M83" s="1"/>
      <c r="N83" s="1"/>
    </row>
    <row r="84" spans="1:14" ht="12.75" customHeight="1" x14ac:dyDescent="0.2">
      <c r="A84" s="48" t="s">
        <v>113</v>
      </c>
      <c r="F84" s="255">
        <v>0</v>
      </c>
      <c r="G84" s="572"/>
      <c r="H84" s="256">
        <v>0</v>
      </c>
      <c r="I84" s="171">
        <f>F84*H84</f>
        <v>0</v>
      </c>
      <c r="K84" s="1"/>
      <c r="L84" s="1"/>
      <c r="M84" s="1"/>
      <c r="N84" s="1"/>
    </row>
    <row r="85" spans="1:14" ht="4.5" customHeight="1" x14ac:dyDescent="0.25">
      <c r="G85" s="139"/>
      <c r="K85" s="44"/>
      <c r="L85" s="556"/>
      <c r="M85" s="556"/>
      <c r="N85" s="44"/>
    </row>
    <row r="86" spans="1:14" s="32" customFormat="1" ht="12.75" x14ac:dyDescent="0.2">
      <c r="A86" s="125" t="s">
        <v>253</v>
      </c>
      <c r="B86" s="126"/>
      <c r="C86" s="127"/>
      <c r="D86" s="127"/>
      <c r="E86" s="128"/>
      <c r="F86" s="129"/>
      <c r="G86" s="140"/>
      <c r="H86" s="128"/>
      <c r="I86" s="130">
        <f>I83+I84</f>
        <v>2149335.5</v>
      </c>
      <c r="J86" s="36"/>
      <c r="K86" s="81"/>
      <c r="L86" s="81"/>
      <c r="M86" s="81"/>
      <c r="N86" s="82"/>
    </row>
    <row r="87" spans="1:14" s="32" customFormat="1" ht="4.5" customHeight="1" x14ac:dyDescent="0.2">
      <c r="B87" s="33"/>
      <c r="C87" s="34"/>
      <c r="D87" s="34"/>
      <c r="E87" s="65"/>
      <c r="F87" s="66"/>
      <c r="G87" s="67"/>
      <c r="H87" s="93"/>
      <c r="I87" s="119"/>
      <c r="J87" s="94"/>
      <c r="K87" s="36"/>
      <c r="L87" s="36"/>
      <c r="M87" s="36"/>
      <c r="N87" s="84"/>
    </row>
    <row r="88" spans="1:14" s="32" customFormat="1" ht="12.75" x14ac:dyDescent="0.2">
      <c r="A88" s="68" t="s">
        <v>13</v>
      </c>
      <c r="B88" s="33"/>
      <c r="C88" s="34"/>
      <c r="D88" s="34"/>
      <c r="E88" s="76"/>
      <c r="F88" s="239">
        <v>0.04</v>
      </c>
      <c r="H88" s="38"/>
      <c r="I88" s="120">
        <f>ROUND(I86*F88,2)</f>
        <v>85973.42</v>
      </c>
      <c r="J88" s="94"/>
      <c r="K88" s="86"/>
      <c r="L88" s="86"/>
      <c r="M88" s="86"/>
      <c r="N88" s="84"/>
    </row>
    <row r="89" spans="1:14" s="32" customFormat="1" ht="3" customHeight="1" x14ac:dyDescent="0.2">
      <c r="A89" s="69"/>
      <c r="B89" s="70"/>
      <c r="C89" s="71"/>
      <c r="D89" s="71"/>
      <c r="E89" s="77"/>
      <c r="F89" s="77"/>
      <c r="G89" s="240"/>
      <c r="H89" s="249"/>
      <c r="I89" s="121"/>
      <c r="J89" s="94"/>
      <c r="K89" s="36"/>
      <c r="L89" s="36"/>
      <c r="M89" s="36"/>
      <c r="N89" s="84"/>
    </row>
    <row r="90" spans="1:14" s="32" customFormat="1" ht="3" customHeight="1" x14ac:dyDescent="0.2">
      <c r="B90" s="33"/>
      <c r="C90" s="34"/>
      <c r="D90" s="34"/>
      <c r="E90" s="72"/>
      <c r="F90" s="72"/>
      <c r="G90" s="242"/>
      <c r="H90" s="250"/>
      <c r="I90" s="119"/>
      <c r="J90" s="94"/>
      <c r="K90" s="36"/>
      <c r="L90" s="36"/>
      <c r="M90" s="36"/>
      <c r="N90" s="84"/>
    </row>
    <row r="91" spans="1:14" s="32" customFormat="1" ht="12.75" x14ac:dyDescent="0.2">
      <c r="A91" s="125" t="s">
        <v>254</v>
      </c>
      <c r="B91" s="126"/>
      <c r="C91" s="127"/>
      <c r="D91" s="127"/>
      <c r="E91" s="128"/>
      <c r="F91" s="129"/>
      <c r="G91" s="140"/>
      <c r="H91" s="128"/>
      <c r="I91" s="130">
        <f>I86+I88</f>
        <v>2235308.92</v>
      </c>
      <c r="J91" s="36"/>
      <c r="K91" s="81"/>
      <c r="L91" s="81"/>
      <c r="M91" s="81"/>
      <c r="N91" s="82"/>
    </row>
    <row r="92" spans="1:14" s="32" customFormat="1" ht="4.5" customHeight="1" x14ac:dyDescent="0.2">
      <c r="B92" s="33"/>
      <c r="C92" s="34"/>
      <c r="D92" s="34"/>
      <c r="E92" s="65"/>
      <c r="F92" s="66"/>
      <c r="G92" s="67"/>
      <c r="H92" s="93"/>
      <c r="I92" s="119"/>
      <c r="J92" s="94"/>
      <c r="K92" s="36"/>
      <c r="L92" s="36"/>
      <c r="M92" s="36"/>
      <c r="N92" s="84"/>
    </row>
    <row r="93" spans="1:14" s="32" customFormat="1" ht="12.75" x14ac:dyDescent="0.2">
      <c r="A93" s="68" t="s">
        <v>150</v>
      </c>
      <c r="B93" s="33"/>
      <c r="C93" s="34"/>
      <c r="D93" s="34"/>
      <c r="E93" s="76"/>
      <c r="F93" s="239">
        <v>0</v>
      </c>
      <c r="H93" s="38"/>
      <c r="I93" s="120">
        <f>ROUND(I91*F93,2)</f>
        <v>0</v>
      </c>
      <c r="J93" s="94"/>
      <c r="K93" s="86"/>
      <c r="L93" s="86"/>
      <c r="M93" s="86"/>
      <c r="N93" s="84"/>
    </row>
    <row r="94" spans="1:14" s="32" customFormat="1" ht="3" customHeight="1" x14ac:dyDescent="0.2">
      <c r="A94" s="69"/>
      <c r="B94" s="70"/>
      <c r="C94" s="71"/>
      <c r="D94" s="71"/>
      <c r="E94" s="77"/>
      <c r="F94" s="77"/>
      <c r="G94" s="240"/>
      <c r="H94" s="249"/>
      <c r="I94" s="121"/>
      <c r="J94" s="94"/>
      <c r="K94" s="36"/>
      <c r="L94" s="36"/>
      <c r="M94" s="36"/>
      <c r="N94" s="84"/>
    </row>
    <row r="95" spans="1:14" s="32" customFormat="1" ht="3" customHeight="1" x14ac:dyDescent="0.2">
      <c r="B95" s="33"/>
      <c r="C95" s="34"/>
      <c r="D95" s="34"/>
      <c r="E95" s="72"/>
      <c r="F95" s="72"/>
      <c r="G95" s="242"/>
      <c r="H95" s="250"/>
      <c r="I95" s="119"/>
      <c r="J95" s="94"/>
      <c r="K95" s="36"/>
      <c r="L95" s="36"/>
      <c r="M95" s="36"/>
      <c r="N95" s="84"/>
    </row>
    <row r="96" spans="1:14" s="32" customFormat="1" ht="12.75" x14ac:dyDescent="0.2">
      <c r="A96" s="125" t="s">
        <v>255</v>
      </c>
      <c r="B96" s="126"/>
      <c r="C96" s="127"/>
      <c r="D96" s="127"/>
      <c r="E96" s="128"/>
      <c r="F96" s="129"/>
      <c r="G96" s="140"/>
      <c r="H96" s="128"/>
      <c r="I96" s="130">
        <f>I91+I93</f>
        <v>2235308.92</v>
      </c>
      <c r="J96" s="36"/>
      <c r="K96" s="81"/>
      <c r="L96" s="81"/>
      <c r="M96" s="81"/>
      <c r="N96" s="82"/>
    </row>
    <row r="97" spans="1:15" s="159" customFormat="1" ht="4.5" customHeight="1" x14ac:dyDescent="0.2">
      <c r="A97" s="73"/>
      <c r="B97" s="74"/>
      <c r="C97" s="75"/>
      <c r="D97" s="75"/>
      <c r="E97" s="615"/>
      <c r="I97" s="171"/>
      <c r="J97" s="36"/>
      <c r="K97" s="81"/>
      <c r="L97" s="81"/>
      <c r="M97" s="81"/>
      <c r="N97" s="82"/>
      <c r="O97" s="83"/>
    </row>
    <row r="98" spans="1:15" s="32" customFormat="1" ht="12.75" x14ac:dyDescent="0.2">
      <c r="A98" s="32" t="s">
        <v>14</v>
      </c>
      <c r="B98" s="33"/>
      <c r="D98" s="34"/>
      <c r="E98" s="72"/>
      <c r="F98" s="38">
        <v>0.2</v>
      </c>
      <c r="H98" s="38"/>
      <c r="I98" s="123">
        <f>ROUND(I96*F98,2)</f>
        <v>447061.78</v>
      </c>
      <c r="J98" s="90"/>
      <c r="K98" s="36"/>
      <c r="L98" s="36"/>
      <c r="M98" s="36"/>
      <c r="N98" s="84"/>
    </row>
    <row r="99" spans="1:15" s="32" customFormat="1" ht="3" customHeight="1" x14ac:dyDescent="0.2">
      <c r="A99" s="37"/>
      <c r="B99" s="231"/>
      <c r="C99" s="78"/>
      <c r="D99" s="78"/>
      <c r="E99" s="72"/>
      <c r="F99" s="72"/>
      <c r="G99" s="67"/>
      <c r="H99" s="93"/>
      <c r="I99" s="124"/>
      <c r="J99" s="94"/>
      <c r="K99" s="36"/>
      <c r="L99" s="36"/>
      <c r="M99" s="36"/>
      <c r="N99" s="84"/>
    </row>
    <row r="100" spans="1:15" s="37" customFormat="1" ht="12.75" x14ac:dyDescent="0.2">
      <c r="A100" s="223" t="s">
        <v>256</v>
      </c>
      <c r="B100" s="232"/>
      <c r="C100" s="224"/>
      <c r="D100" s="224"/>
      <c r="E100" s="225"/>
      <c r="F100" s="226"/>
      <c r="G100" s="227"/>
      <c r="H100" s="227"/>
      <c r="I100" s="228">
        <f>SUM(I95:I98)</f>
        <v>2682370.7000000002</v>
      </c>
      <c r="J100" s="605"/>
      <c r="K100" s="87"/>
      <c r="L100" s="87"/>
      <c r="M100" s="87"/>
      <c r="N100" s="88"/>
    </row>
  </sheetData>
  <mergeCells count="16">
    <mergeCell ref="K11:L16"/>
    <mergeCell ref="A7:B7"/>
    <mergeCell ref="A9:B9"/>
    <mergeCell ref="A11:B11"/>
    <mergeCell ref="A14:B14"/>
    <mergeCell ref="A16:B16"/>
    <mergeCell ref="A12:B12"/>
    <mergeCell ref="G83:H83"/>
    <mergeCell ref="E11:E12"/>
    <mergeCell ref="F11:F12"/>
    <mergeCell ref="F2:I2"/>
    <mergeCell ref="A18:B18"/>
    <mergeCell ref="A20:B20"/>
    <mergeCell ref="A28:B28"/>
    <mergeCell ref="A22:B22"/>
    <mergeCell ref="A24:B24"/>
  </mergeCells>
  <conditionalFormatting sqref="F60">
    <cfRule type="expression" dxfId="13" priority="2" stopIfTrue="1">
      <formula>$F$57&gt;1999999.99</formula>
    </cfRule>
  </conditionalFormatting>
  <conditionalFormatting sqref="F61">
    <cfRule type="expression" dxfId="12" priority="1" stopIfTrue="1">
      <formula>$F$57&lt;2000000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&amp;L&amp;"Arial,Fett"&amp;10&amp;K00-043Vergabemodelle&amp;R&amp;"Arial,Fett"&amp;10&amp;K00-046Vertrag Generalplanung - Anhang 3</oddHeader>
    <oddFooter>&amp;L&amp;"Arial,Standard"&amp;9&amp;K01+011Seite &amp;P von &amp;N                              Juni 2018&amp;R&amp;"Arial,Fett"&amp;9&amp;K01+011Leitfaden Vergabe technische Beratung &amp; Planung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>
    <tabColor theme="4" tint="0.39997558519241921"/>
  </sheetPr>
  <dimension ref="A1:N100"/>
  <sheetViews>
    <sheetView showGridLines="0" tabSelected="1" view="pageLayout" topLeftCell="A49" zoomScale="85" zoomScaleNormal="85" zoomScaleSheetLayoutView="85" zoomScalePageLayoutView="85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5.7109375" style="1" customWidth="1"/>
    <col min="13" max="16384" width="11.5703125" style="1"/>
  </cols>
  <sheetData>
    <row r="1" spans="1:11" ht="5.0999999999999996" customHeight="1" x14ac:dyDescent="0.2"/>
    <row r="2" spans="1:11" s="54" customFormat="1" ht="35.1" customHeight="1" x14ac:dyDescent="0.2">
      <c r="C2" s="13"/>
      <c r="D2" s="103"/>
      <c r="G2" s="55"/>
      <c r="H2" s="820" t="s">
        <v>331</v>
      </c>
      <c r="I2" s="820"/>
      <c r="K2" s="62"/>
    </row>
    <row r="3" spans="1:11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H5" s="16" t="s">
        <v>16</v>
      </c>
      <c r="I5" s="117" t="s">
        <v>51</v>
      </c>
      <c r="K5" s="45"/>
    </row>
    <row r="6" spans="1:11" s="11" customFormat="1" ht="6" customHeight="1" x14ac:dyDescent="0.25">
      <c r="F6" s="98"/>
      <c r="I6" s="2"/>
      <c r="K6" s="2"/>
    </row>
    <row r="7" spans="1:11" s="12" customFormat="1" ht="12.75" customHeight="1" x14ac:dyDescent="0.2">
      <c r="A7" s="821">
        <v>1</v>
      </c>
      <c r="B7" s="821"/>
      <c r="C7" s="106"/>
      <c r="D7" s="107" t="s">
        <v>0</v>
      </c>
      <c r="E7" s="160">
        <f>F7/_1_9</f>
        <v>2.1739888766278866E-3</v>
      </c>
      <c r="F7" s="179">
        <f>_1</f>
        <v>70000</v>
      </c>
      <c r="G7" s="104"/>
      <c r="H7" s="135">
        <v>0</v>
      </c>
      <c r="I7" s="17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160">
        <f>F9/_1_9</f>
        <v>0.27951285556644256</v>
      </c>
      <c r="F9" s="179">
        <f>_2</f>
        <v>9000000</v>
      </c>
      <c r="G9" s="104"/>
      <c r="H9" s="135">
        <v>0</v>
      </c>
      <c r="I9" s="179">
        <f>F9*H9</f>
        <v>0</v>
      </c>
      <c r="K9" s="50"/>
    </row>
    <row r="10" spans="1:11" ht="2.25" customHeight="1" x14ac:dyDescent="0.2">
      <c r="B10" s="4"/>
      <c r="C10" s="6"/>
      <c r="D10" s="1"/>
      <c r="E10" s="161"/>
      <c r="F10" s="174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160">
        <f>F11/_1_9</f>
        <v>0.25156157000979829</v>
      </c>
      <c r="F11" s="389">
        <f>_3</f>
        <v>8100000</v>
      </c>
      <c r="G11" s="104"/>
      <c r="H11" s="135">
        <v>0</v>
      </c>
      <c r="I11" s="389">
        <f>F11*H11</f>
        <v>0</v>
      </c>
      <c r="K11" s="50"/>
    </row>
    <row r="12" spans="1:11" ht="2.25" customHeight="1" x14ac:dyDescent="0.2">
      <c r="B12" s="4"/>
      <c r="C12" s="6"/>
      <c r="D12" s="1"/>
      <c r="E12" s="161"/>
      <c r="F12" s="174"/>
      <c r="H12" s="631"/>
      <c r="I12" s="174"/>
      <c r="K12" s="63"/>
    </row>
    <row r="13" spans="1:11" s="11" customFormat="1" ht="12.75" customHeight="1" x14ac:dyDescent="0.2">
      <c r="A13" s="821">
        <v>4</v>
      </c>
      <c r="B13" s="821"/>
      <c r="C13" s="106"/>
      <c r="D13" s="107" t="s">
        <v>2</v>
      </c>
      <c r="E13" s="160">
        <f>F13/_1_9</f>
        <v>0.20187039568687518</v>
      </c>
      <c r="F13" s="179">
        <f>_4</f>
        <v>6500000</v>
      </c>
      <c r="G13" s="104"/>
      <c r="H13" s="135">
        <v>0</v>
      </c>
      <c r="I13" s="179">
        <f>F13*H13</f>
        <v>0</v>
      </c>
      <c r="K13" s="50"/>
    </row>
    <row r="14" spans="1:11" ht="2.25" customHeight="1" x14ac:dyDescent="0.2">
      <c r="B14" s="4"/>
      <c r="C14" s="6"/>
      <c r="D14" s="1"/>
      <c r="E14" s="161"/>
      <c r="F14" s="174"/>
      <c r="H14" s="631"/>
      <c r="I14" s="174"/>
      <c r="K14" s="63"/>
    </row>
    <row r="15" spans="1:11" s="12" customFormat="1" ht="12.95" customHeight="1" x14ac:dyDescent="0.2">
      <c r="A15" s="821">
        <v>5</v>
      </c>
      <c r="B15" s="821"/>
      <c r="C15" s="106"/>
      <c r="D15" s="107" t="s">
        <v>9</v>
      </c>
      <c r="E15" s="160">
        <f>F15/_1_9</f>
        <v>5.1244023520514471E-2</v>
      </c>
      <c r="F15" s="389">
        <f>_5</f>
        <v>1650000</v>
      </c>
      <c r="G15" s="104"/>
      <c r="H15" s="633"/>
      <c r="I15" s="229"/>
      <c r="K15" s="50"/>
    </row>
    <row r="16" spans="1:11" ht="12.95" customHeight="1" x14ac:dyDescent="0.2">
      <c r="A16" s="840">
        <v>5</v>
      </c>
      <c r="B16" s="840"/>
      <c r="C16" s="113" t="s">
        <v>17</v>
      </c>
      <c r="D16" s="114" t="s">
        <v>247</v>
      </c>
      <c r="E16" s="162"/>
      <c r="F16" s="177">
        <f>_5EinbauM</f>
        <v>600000</v>
      </c>
      <c r="G16" s="104"/>
      <c r="H16" s="136">
        <v>1</v>
      </c>
      <c r="I16" s="235">
        <f>H16*F16</f>
        <v>600000</v>
      </c>
      <c r="K16" s="50"/>
    </row>
    <row r="17" spans="1:13" ht="12.95" customHeight="1" x14ac:dyDescent="0.2">
      <c r="A17" s="837">
        <v>5</v>
      </c>
      <c r="B17" s="837"/>
      <c r="C17" s="115" t="s">
        <v>19</v>
      </c>
      <c r="D17" s="116" t="s">
        <v>248</v>
      </c>
      <c r="E17" s="163"/>
      <c r="F17" s="177">
        <f>_5SerienM</f>
        <v>1000000</v>
      </c>
      <c r="G17" s="104"/>
      <c r="H17" s="136">
        <v>0.6</v>
      </c>
      <c r="I17" s="235">
        <f>H17*F17</f>
        <v>600000</v>
      </c>
      <c r="K17" s="50"/>
    </row>
    <row r="18" spans="1:13" ht="12.95" customHeight="1" x14ac:dyDescent="0.2">
      <c r="A18" s="837">
        <v>5</v>
      </c>
      <c r="B18" s="837"/>
      <c r="C18" s="115" t="s">
        <v>20</v>
      </c>
      <c r="D18" s="116" t="s">
        <v>52</v>
      </c>
      <c r="E18" s="163"/>
      <c r="F18" s="177">
        <f>_5Nutzer</f>
        <v>50000</v>
      </c>
      <c r="G18" s="104"/>
      <c r="H18" s="136">
        <v>0.4</v>
      </c>
      <c r="I18" s="235">
        <f>H18*F18</f>
        <v>20000</v>
      </c>
      <c r="K18" s="50"/>
    </row>
    <row r="19" spans="1:13" ht="12.95" customHeight="1" x14ac:dyDescent="0.2">
      <c r="A19" s="837">
        <v>5</v>
      </c>
      <c r="B19" s="837"/>
      <c r="C19" s="115" t="s">
        <v>21</v>
      </c>
      <c r="D19" s="116" t="s">
        <v>128</v>
      </c>
      <c r="E19" s="163"/>
      <c r="F19" s="177">
        <f>_5Übers</f>
        <v>0</v>
      </c>
      <c r="G19" s="104"/>
      <c r="H19" s="136">
        <v>0.4</v>
      </c>
      <c r="I19" s="235">
        <f>F19*H19</f>
        <v>0</v>
      </c>
      <c r="K19" s="50"/>
    </row>
    <row r="20" spans="1:13" ht="2.25" customHeight="1" x14ac:dyDescent="0.2">
      <c r="B20" s="4"/>
      <c r="C20" s="6"/>
      <c r="D20" s="1"/>
      <c r="E20" s="161"/>
      <c r="F20" s="174"/>
      <c r="H20" s="631"/>
      <c r="I20" s="174"/>
      <c r="K20" s="63"/>
    </row>
    <row r="21" spans="1:13" s="11" customFormat="1" ht="12.95" customHeight="1" x14ac:dyDescent="0.2">
      <c r="A21" s="821">
        <v>6</v>
      </c>
      <c r="B21" s="821"/>
      <c r="C21" s="106"/>
      <c r="D21" s="107" t="s">
        <v>3</v>
      </c>
      <c r="E21" s="160">
        <f>F21/_1_9</f>
        <v>1.5528491975913475E-2</v>
      </c>
      <c r="F21" s="179">
        <f>_6</f>
        <v>500000</v>
      </c>
      <c r="G21" s="104"/>
      <c r="H21" s="135">
        <v>0</v>
      </c>
      <c r="I21" s="179">
        <f>F21*H21</f>
        <v>0</v>
      </c>
      <c r="K21" s="50"/>
    </row>
    <row r="22" spans="1:13" ht="2.25" customHeight="1" x14ac:dyDescent="0.2">
      <c r="B22" s="4"/>
      <c r="C22" s="6"/>
      <c r="D22" s="1"/>
      <c r="E22" s="161"/>
      <c r="F22" s="174"/>
      <c r="H22" s="631"/>
      <c r="I22" s="174"/>
      <c r="K22" s="63"/>
    </row>
    <row r="23" spans="1:13" s="12" customFormat="1" ht="12.95" customHeight="1" x14ac:dyDescent="0.2">
      <c r="A23" s="821">
        <v>7</v>
      </c>
      <c r="B23" s="821"/>
      <c r="C23" s="106"/>
      <c r="D23" s="107" t="s">
        <v>166</v>
      </c>
      <c r="E23" s="160">
        <f>F23/_1_9</f>
        <v>0.14729944861863917</v>
      </c>
      <c r="F23" s="179">
        <f>_7</f>
        <v>4742876.7985686567</v>
      </c>
      <c r="G23" s="104"/>
      <c r="H23" s="135">
        <v>0</v>
      </c>
      <c r="I23" s="179">
        <f>F23*H23</f>
        <v>0</v>
      </c>
      <c r="K23" s="50"/>
    </row>
    <row r="24" spans="1:13" ht="2.25" customHeight="1" x14ac:dyDescent="0.2">
      <c r="B24" s="4"/>
      <c r="C24" s="6"/>
      <c r="D24" s="1"/>
      <c r="E24" s="161"/>
      <c r="F24" s="174"/>
      <c r="H24" s="631"/>
      <c r="I24" s="174"/>
      <c r="K24" s="63"/>
    </row>
    <row r="25" spans="1:13" s="12" customFormat="1" ht="12.95" customHeight="1" x14ac:dyDescent="0.2">
      <c r="A25" s="821">
        <v>8</v>
      </c>
      <c r="B25" s="821"/>
      <c r="C25" s="106"/>
      <c r="D25" s="107" t="s">
        <v>165</v>
      </c>
      <c r="E25" s="160">
        <f>F25/_1_9</f>
        <v>1.1180514222657702E-3</v>
      </c>
      <c r="F25" s="179">
        <f>_8</f>
        <v>36000</v>
      </c>
      <c r="G25" s="104"/>
      <c r="H25" s="135">
        <v>0</v>
      </c>
      <c r="I25" s="179">
        <f>F25*H25</f>
        <v>0</v>
      </c>
      <c r="K25" s="50"/>
    </row>
    <row r="26" spans="1:13" ht="2.25" customHeight="1" x14ac:dyDescent="0.2">
      <c r="B26" s="4"/>
      <c r="C26" s="6"/>
      <c r="D26" s="1"/>
      <c r="E26" s="161"/>
      <c r="F26" s="174"/>
      <c r="H26" s="631"/>
      <c r="I26" s="174"/>
      <c r="K26" s="63"/>
    </row>
    <row r="27" spans="1:13" s="12" customFormat="1" ht="12.95" customHeight="1" x14ac:dyDescent="0.2">
      <c r="A27" s="821">
        <v>9</v>
      </c>
      <c r="B27" s="821"/>
      <c r="C27" s="106"/>
      <c r="D27" s="107" t="s">
        <v>10</v>
      </c>
      <c r="E27" s="160">
        <f>F27/_1_9</f>
        <v>4.9691174322923123E-2</v>
      </c>
      <c r="F27" s="179">
        <f>_9</f>
        <v>1600000</v>
      </c>
      <c r="G27" s="104"/>
      <c r="H27" s="135">
        <v>0.02</v>
      </c>
      <c r="I27" s="179">
        <f>F27*H27</f>
        <v>32000</v>
      </c>
      <c r="K27" s="50"/>
    </row>
    <row r="28" spans="1:13" ht="12" customHeight="1" x14ac:dyDescent="0.2">
      <c r="B28" s="17"/>
      <c r="C28" s="5"/>
      <c r="D28" s="1"/>
      <c r="E28" s="47"/>
      <c r="F28" s="1"/>
      <c r="H28" s="1"/>
      <c r="I28" s="1"/>
      <c r="K28" s="1"/>
    </row>
    <row r="29" spans="1:13" ht="12.95" customHeight="1" x14ac:dyDescent="0.2">
      <c r="A29" s="144" t="s">
        <v>12</v>
      </c>
      <c r="B29" s="145"/>
      <c r="C29" s="145"/>
      <c r="D29" s="145"/>
      <c r="E29" s="148">
        <f>SUM(E7:E27)</f>
        <v>0.99999999999999989</v>
      </c>
      <c r="F29" s="146">
        <f>SUM(F7+F9+F11+F13+F15+F21+F23+F25+F27)</f>
        <v>32198876.798568659</v>
      </c>
      <c r="H29" s="216"/>
      <c r="I29" s="339">
        <f>SUM(I7:I27)</f>
        <v>1252000</v>
      </c>
      <c r="K29" s="30"/>
    </row>
    <row r="30" spans="1:13" ht="4.5" customHeight="1" x14ac:dyDescent="0.25">
      <c r="B30" s="13"/>
      <c r="C30" s="13"/>
      <c r="D30" s="14"/>
      <c r="E30" s="47"/>
      <c r="F30" s="14"/>
      <c r="G30" s="1"/>
      <c r="H30" s="19"/>
      <c r="I30" s="15"/>
      <c r="J30" s="18"/>
      <c r="K30" s="30"/>
      <c r="L30" s="555"/>
      <c r="M30" s="554"/>
    </row>
    <row r="31" spans="1:13" s="11" customFormat="1" ht="12.95" customHeight="1" x14ac:dyDescent="0.2">
      <c r="A31" s="821"/>
      <c r="B31" s="821"/>
      <c r="C31" s="106" t="s">
        <v>432</v>
      </c>
      <c r="D31" s="107"/>
      <c r="E31" s="803"/>
      <c r="F31" s="389">
        <f>_mvB</f>
        <v>110000</v>
      </c>
      <c r="G31" s="104"/>
      <c r="H31" s="135">
        <v>0</v>
      </c>
      <c r="I31" s="389">
        <f>F31*H31</f>
        <v>0</v>
      </c>
      <c r="J31" s="50"/>
    </row>
    <row r="32" spans="1:13" ht="4.5" customHeight="1" x14ac:dyDescent="0.2">
      <c r="B32" s="13"/>
      <c r="C32" s="13"/>
      <c r="D32" s="14"/>
      <c r="E32" s="1"/>
      <c r="F32" s="47"/>
      <c r="G32" s="14"/>
      <c r="H32" s="19"/>
      <c r="I32" s="15"/>
      <c r="K32" s="18"/>
    </row>
    <row r="33" spans="1:11" s="20" customFormat="1" ht="12.95" customHeight="1" x14ac:dyDescent="0.3">
      <c r="A33" s="377" t="s">
        <v>32</v>
      </c>
      <c r="B33" s="378"/>
      <c r="C33" s="378"/>
      <c r="D33" s="378"/>
      <c r="E33" s="371"/>
      <c r="F33" s="371"/>
      <c r="G33" s="371"/>
      <c r="H33" s="338"/>
      <c r="I33" s="339">
        <f>SUM(I29:I31)</f>
        <v>1252000</v>
      </c>
      <c r="K33" s="64"/>
    </row>
    <row r="34" spans="1:11" s="21" customFormat="1" ht="13.5" customHeight="1" x14ac:dyDescent="0.25">
      <c r="B34" s="23"/>
      <c r="C34" s="23"/>
      <c r="D34" s="22"/>
      <c r="E34" s="46"/>
      <c r="F34" s="46"/>
      <c r="G34" s="22"/>
      <c r="H34" s="46"/>
      <c r="I34" s="838"/>
      <c r="J34" s="838"/>
      <c r="K34" s="29"/>
    </row>
    <row r="35" spans="1:11" ht="12.75" customHeight="1" x14ac:dyDescent="0.2">
      <c r="A35" s="340" t="s">
        <v>83</v>
      </c>
      <c r="B35" s="341"/>
      <c r="C35" s="341"/>
      <c r="D35" s="341"/>
      <c r="E35" s="341"/>
      <c r="F35" s="341"/>
      <c r="G35" s="341"/>
      <c r="H35" s="341"/>
      <c r="I35" s="359"/>
      <c r="K35" s="18"/>
    </row>
    <row r="36" spans="1:11" ht="6.75" customHeight="1" x14ac:dyDescent="0.2">
      <c r="A36" s="193"/>
      <c r="B36" s="193"/>
      <c r="C36" s="193"/>
      <c r="D36" s="193"/>
      <c r="E36" s="194"/>
      <c r="F36" s="194"/>
      <c r="G36" s="193"/>
      <c r="H36" s="194"/>
      <c r="I36" s="308"/>
      <c r="K36" s="18"/>
    </row>
    <row r="37" spans="1:11" ht="12.75" customHeight="1" x14ac:dyDescent="0.2">
      <c r="A37" s="25"/>
      <c r="B37" s="25"/>
      <c r="C37" s="25"/>
      <c r="D37" s="1"/>
      <c r="E37" s="1"/>
      <c r="F37" s="197" t="s">
        <v>5</v>
      </c>
      <c r="H37" s="198" t="s">
        <v>4</v>
      </c>
      <c r="I37" s="309"/>
      <c r="K37" s="58"/>
    </row>
    <row r="38" spans="1:11" ht="12.75" customHeight="1" x14ac:dyDescent="0.2">
      <c r="B38" s="26" t="s">
        <v>46</v>
      </c>
      <c r="C38" s="60"/>
      <c r="D38" s="51"/>
      <c r="E38" s="51"/>
      <c r="F38" s="151">
        <v>8</v>
      </c>
      <c r="G38" s="199"/>
      <c r="H38" s="199" t="s">
        <v>56</v>
      </c>
      <c r="I38" s="309"/>
      <c r="K38" s="58"/>
    </row>
    <row r="39" spans="1:11" ht="12.75" customHeight="1" x14ac:dyDescent="0.2">
      <c r="B39" s="27" t="s">
        <v>47</v>
      </c>
      <c r="C39" s="61"/>
      <c r="D39" s="52"/>
      <c r="E39" s="52"/>
      <c r="F39" s="152">
        <v>1</v>
      </c>
      <c r="G39" s="199"/>
      <c r="H39" s="200" t="s">
        <v>57</v>
      </c>
      <c r="I39" s="309"/>
      <c r="K39" s="58"/>
    </row>
    <row r="40" spans="1:11" ht="12.75" customHeight="1" x14ac:dyDescent="0.2">
      <c r="B40" s="27" t="s">
        <v>48</v>
      </c>
      <c r="C40" s="61"/>
      <c r="D40" s="52"/>
      <c r="E40" s="52"/>
      <c r="F40" s="152">
        <v>1</v>
      </c>
      <c r="G40" s="199"/>
      <c r="H40" s="200" t="s">
        <v>57</v>
      </c>
      <c r="I40" s="309"/>
      <c r="K40" s="58"/>
    </row>
    <row r="41" spans="1:11" ht="12.75" customHeight="1" x14ac:dyDescent="0.2">
      <c r="B41" s="27" t="s">
        <v>49</v>
      </c>
      <c r="C41" s="52"/>
      <c r="D41" s="52"/>
      <c r="E41" s="52"/>
      <c r="F41" s="152">
        <v>1</v>
      </c>
      <c r="G41" s="199"/>
      <c r="H41" s="200" t="s">
        <v>57</v>
      </c>
      <c r="I41" s="309"/>
      <c r="K41" s="58"/>
    </row>
    <row r="42" spans="1:11" ht="4.5" customHeight="1" x14ac:dyDescent="0.2">
      <c r="A42" s="40"/>
      <c r="B42" s="40"/>
      <c r="C42" s="40"/>
      <c r="D42" s="1"/>
      <c r="E42" s="1"/>
      <c r="F42" s="201"/>
      <c r="G42" s="199"/>
      <c r="H42" s="201"/>
      <c r="I42" s="309"/>
      <c r="K42" s="58"/>
    </row>
    <row r="43" spans="1:11" ht="12.75" customHeight="1" x14ac:dyDescent="0.2">
      <c r="B43" s="27" t="s">
        <v>15</v>
      </c>
      <c r="C43" s="52"/>
      <c r="D43" s="52"/>
      <c r="E43" s="52"/>
      <c r="F43" s="379">
        <v>0</v>
      </c>
      <c r="G43" s="199"/>
      <c r="H43" s="200"/>
      <c r="I43" s="309"/>
      <c r="K43" s="1"/>
    </row>
    <row r="44" spans="1:11" ht="4.5" customHeight="1" x14ac:dyDescent="0.2">
      <c r="A44" s="40"/>
      <c r="B44" s="40"/>
      <c r="C44" s="1"/>
      <c r="D44" s="203"/>
      <c r="E44" s="203"/>
      <c r="F44" s="203"/>
      <c r="H44" s="203"/>
      <c r="I44" s="309"/>
      <c r="K44" s="1"/>
    </row>
    <row r="45" spans="1:11" ht="12.75" customHeight="1" x14ac:dyDescent="0.2">
      <c r="B45" s="25" t="s">
        <v>45</v>
      </c>
      <c r="C45" s="1"/>
      <c r="D45" s="202"/>
      <c r="E45" s="203"/>
      <c r="F45" s="204">
        <f>SUM(F38:F43)</f>
        <v>11</v>
      </c>
      <c r="H45" s="203"/>
      <c r="I45" s="309"/>
      <c r="K45" s="1"/>
    </row>
    <row r="46" spans="1:11" ht="12.95" customHeight="1" x14ac:dyDescent="0.2">
      <c r="B46" s="40"/>
      <c r="C46" s="1"/>
      <c r="D46" s="203"/>
      <c r="E46" s="203"/>
      <c r="F46" s="203"/>
      <c r="H46" s="203"/>
      <c r="I46" s="309"/>
      <c r="K46" s="1"/>
    </row>
    <row r="47" spans="1:11" ht="12.95" customHeight="1" x14ac:dyDescent="0.2">
      <c r="A47" s="340" t="s">
        <v>171</v>
      </c>
      <c r="B47" s="340"/>
      <c r="C47" s="341"/>
      <c r="D47" s="341"/>
      <c r="E47" s="341"/>
      <c r="F47" s="341"/>
      <c r="G47" s="343"/>
      <c r="H47" s="341"/>
      <c r="I47" s="358"/>
      <c r="K47" s="18"/>
    </row>
    <row r="48" spans="1:11" ht="4.5" customHeight="1" x14ac:dyDescent="0.2">
      <c r="A48" s="205"/>
      <c r="B48" s="205"/>
      <c r="C48" s="205"/>
      <c r="D48" s="205"/>
      <c r="F48" s="8"/>
      <c r="I48" s="1"/>
      <c r="K48" s="18"/>
    </row>
    <row r="49" spans="1:14" ht="14.25" customHeight="1" x14ac:dyDescent="0.2">
      <c r="A49" s="206" t="s">
        <v>11</v>
      </c>
      <c r="B49" s="206"/>
      <c r="C49" s="1"/>
      <c r="F49" s="230">
        <f>I33</f>
        <v>1252000</v>
      </c>
      <c r="I49" s="1"/>
      <c r="K49" s="18"/>
    </row>
    <row r="50" spans="1:14" ht="14.25" customHeight="1" x14ac:dyDescent="0.25">
      <c r="A50" s="839" t="s">
        <v>114</v>
      </c>
      <c r="B50" s="839"/>
      <c r="C50" s="839"/>
      <c r="D50" s="839"/>
      <c r="E50" s="839"/>
      <c r="F50" s="202"/>
      <c r="I50" s="381"/>
      <c r="K50" s="18"/>
    </row>
    <row r="51" spans="1:14" ht="14.25" customHeight="1" x14ac:dyDescent="0.25">
      <c r="A51" s="142" t="str">
        <f>IF(A50="in Zusammenhang mit baulichen Planungsleistungen","Faktor aus Bewertungspunkten [fbw = 0,025 x bw +0,65]","Faktor aus Bewertungspunkten [fbw = 0,025 x bw +0,675]")</f>
        <v>Faktor aus Bewertungspunkten [fbw = 0,025 x bw +0,675]</v>
      </c>
      <c r="B51" s="25"/>
      <c r="C51" s="25"/>
      <c r="D51" s="25"/>
      <c r="E51" s="40"/>
      <c r="F51" s="131">
        <f>IF(A50="in Zusammenhang mit baulichen Planungsleistungen",0.025*F45+0.65,0.025*F45+0.675)</f>
        <v>0.95000000000000007</v>
      </c>
      <c r="H51" s="155"/>
      <c r="I51" s="381"/>
      <c r="K51" s="18"/>
    </row>
    <row r="52" spans="1:14" ht="14.25" customHeight="1" x14ac:dyDescent="0.25">
      <c r="A52" s="254" t="s">
        <v>115</v>
      </c>
      <c r="B52" s="1"/>
      <c r="C52" s="1"/>
      <c r="D52" s="1"/>
      <c r="E52" s="1"/>
      <c r="F52" s="221">
        <f>ROUND(60*F49^(-0.1045)*F51/100,4)</f>
        <v>0.13139999999999999</v>
      </c>
      <c r="G52" s="383" t="s">
        <v>107</v>
      </c>
      <c r="H52" s="234"/>
      <c r="I52" s="381"/>
      <c r="K52" s="18"/>
      <c r="L52" s="25"/>
      <c r="M52" s="25"/>
      <c r="N52" s="25"/>
    </row>
    <row r="53" spans="1:14" ht="14.25" customHeight="1" x14ac:dyDescent="0.3">
      <c r="A53" s="311" t="s">
        <v>92</v>
      </c>
      <c r="B53" s="25"/>
      <c r="C53" s="25"/>
      <c r="D53" s="312"/>
      <c r="E53" s="208"/>
      <c r="F53" s="323">
        <f>ROUND(F49*F52,2)</f>
        <v>164512.79999999999</v>
      </c>
      <c r="G53" s="551" t="s">
        <v>174</v>
      </c>
      <c r="H53" s="209"/>
      <c r="I53" s="19"/>
      <c r="J53" s="15"/>
      <c r="K53" s="18"/>
    </row>
    <row r="54" spans="1:14" ht="12.95" customHeight="1" x14ac:dyDescent="0.2">
      <c r="A54" s="39"/>
      <c r="B54" s="40"/>
      <c r="C54" s="40"/>
      <c r="D54" s="208"/>
      <c r="E54" s="208"/>
      <c r="F54" s="208"/>
      <c r="G54" s="209"/>
      <c r="H54" s="209"/>
      <c r="I54" s="57"/>
      <c r="J54" s="41"/>
      <c r="K54" s="18"/>
    </row>
    <row r="55" spans="1:14" ht="12.95" customHeight="1" x14ac:dyDescent="0.2">
      <c r="A55" s="350" t="s">
        <v>170</v>
      </c>
      <c r="B55" s="351"/>
      <c r="C55" s="351"/>
      <c r="D55" s="352"/>
      <c r="E55" s="352"/>
      <c r="F55" s="352"/>
      <c r="G55" s="353"/>
      <c r="H55" s="353"/>
      <c r="I55" s="342"/>
      <c r="J55" s="41"/>
      <c r="K55" s="18"/>
    </row>
    <row r="56" spans="1:14" ht="4.5" customHeight="1" x14ac:dyDescent="0.2">
      <c r="A56" s="345"/>
      <c r="B56" s="40"/>
      <c r="C56" s="40"/>
      <c r="D56" s="208"/>
      <c r="E56" s="208"/>
      <c r="F56" s="208"/>
      <c r="G56" s="209"/>
      <c r="H56" s="209"/>
      <c r="I56" s="57"/>
      <c r="J56" s="41"/>
      <c r="K56" s="18"/>
    </row>
    <row r="57" spans="1:14" ht="12.75" customHeight="1" x14ac:dyDescent="0.25">
      <c r="A57" s="210" t="s">
        <v>98</v>
      </c>
      <c r="B57" s="210"/>
      <c r="C57" s="211"/>
      <c r="D57" s="1"/>
      <c r="E57" s="324">
        <v>0.02</v>
      </c>
      <c r="F57" s="243">
        <v>0.02</v>
      </c>
      <c r="H57" s="212">
        <v>1</v>
      </c>
      <c r="I57" s="608">
        <f>IF($F$49=0,"-",$F$53*F57)</f>
        <v>3290.2559999999999</v>
      </c>
      <c r="J57" s="188"/>
    </row>
    <row r="58" spans="1:14" ht="12.75" customHeight="1" x14ac:dyDescent="0.25">
      <c r="A58" s="210" t="s">
        <v>36</v>
      </c>
      <c r="B58" s="210"/>
      <c r="C58" s="211"/>
      <c r="D58" s="1"/>
      <c r="E58" s="324">
        <v>0.09</v>
      </c>
      <c r="F58" s="244">
        <v>0.09</v>
      </c>
      <c r="H58" s="212">
        <v>2</v>
      </c>
      <c r="I58" s="608">
        <f t="shared" ref="I58:I69" si="0">IF($F$49=0,"-",$F$53*F58)</f>
        <v>14806.151999999998</v>
      </c>
      <c r="J58" s="188"/>
    </row>
    <row r="59" spans="1:14" ht="12.75" customHeight="1" x14ac:dyDescent="0.25">
      <c r="A59" s="210" t="s">
        <v>37</v>
      </c>
      <c r="B59" s="210"/>
      <c r="C59" s="211"/>
      <c r="D59" s="1"/>
      <c r="E59" s="324">
        <v>0.13</v>
      </c>
      <c r="F59" s="244">
        <v>0.13</v>
      </c>
      <c r="H59" s="212">
        <v>3</v>
      </c>
      <c r="I59" s="608">
        <f t="shared" si="0"/>
        <v>21386.664000000001</v>
      </c>
      <c r="J59" s="188"/>
    </row>
    <row r="60" spans="1:14" ht="12.75" customHeight="1" x14ac:dyDescent="0.25">
      <c r="A60" s="210" t="s">
        <v>38</v>
      </c>
      <c r="B60" s="210"/>
      <c r="C60" s="211"/>
      <c r="D60" s="1"/>
      <c r="E60" s="324">
        <v>0</v>
      </c>
      <c r="F60" s="244">
        <v>0</v>
      </c>
      <c r="H60" s="212">
        <v>4</v>
      </c>
      <c r="I60" s="608">
        <f t="shared" si="0"/>
        <v>0</v>
      </c>
      <c r="J60" s="188"/>
    </row>
    <row r="61" spans="1:14" ht="12.75" customHeight="1" x14ac:dyDescent="0.25">
      <c r="A61" s="210" t="s">
        <v>39</v>
      </c>
      <c r="B61" s="210"/>
      <c r="C61" s="211"/>
      <c r="D61" s="1"/>
      <c r="E61" s="324">
        <v>0.28999999999999998</v>
      </c>
      <c r="F61" s="244">
        <v>0.28999999999999998</v>
      </c>
      <c r="H61" s="212">
        <v>5</v>
      </c>
      <c r="I61" s="608">
        <f t="shared" si="0"/>
        <v>47708.711999999992</v>
      </c>
      <c r="J61" s="188"/>
    </row>
    <row r="62" spans="1:14" ht="12.75" customHeight="1" x14ac:dyDescent="0.25">
      <c r="A62" s="210" t="s">
        <v>40</v>
      </c>
      <c r="B62" s="210"/>
      <c r="C62" s="211"/>
      <c r="D62" s="1"/>
      <c r="E62" s="324">
        <v>0.09</v>
      </c>
      <c r="F62" s="244">
        <v>0.09</v>
      </c>
      <c r="H62" s="212">
        <v>6</v>
      </c>
      <c r="I62" s="608">
        <f t="shared" si="0"/>
        <v>14806.151999999998</v>
      </c>
      <c r="J62" s="188"/>
    </row>
    <row r="63" spans="1:14" ht="12.75" customHeight="1" x14ac:dyDescent="0.25">
      <c r="A63" s="210" t="s">
        <v>41</v>
      </c>
      <c r="B63" s="210"/>
      <c r="C63" s="211"/>
      <c r="D63" s="1"/>
      <c r="E63" s="324">
        <v>0.04</v>
      </c>
      <c r="F63" s="244">
        <v>0.04</v>
      </c>
      <c r="H63" s="212"/>
      <c r="I63" s="608">
        <f t="shared" si="0"/>
        <v>6580.5119999999997</v>
      </c>
      <c r="J63" s="188"/>
    </row>
    <row r="64" spans="1:14" ht="12.75" customHeight="1" x14ac:dyDescent="0.25">
      <c r="A64" s="210" t="s">
        <v>54</v>
      </c>
      <c r="B64" s="210"/>
      <c r="C64" s="211"/>
      <c r="D64" s="1"/>
      <c r="E64" s="324">
        <v>0.04</v>
      </c>
      <c r="F64" s="244">
        <v>0.04</v>
      </c>
      <c r="H64" s="212">
        <v>7</v>
      </c>
      <c r="I64" s="608">
        <f t="shared" si="0"/>
        <v>6580.5119999999997</v>
      </c>
      <c r="J64" s="188"/>
    </row>
    <row r="65" spans="1:14" ht="12.75" customHeight="1" x14ac:dyDescent="0.25">
      <c r="A65" s="193" t="s">
        <v>43</v>
      </c>
      <c r="B65" s="193"/>
      <c r="C65" s="211"/>
      <c r="D65" s="1"/>
      <c r="E65" s="324">
        <v>0.3</v>
      </c>
      <c r="F65" s="244">
        <v>0.3</v>
      </c>
      <c r="H65" s="212">
        <v>8</v>
      </c>
      <c r="I65" s="608">
        <f t="shared" si="0"/>
        <v>49353.84</v>
      </c>
      <c r="J65" s="188"/>
      <c r="K65" s="715"/>
    </row>
    <row r="66" spans="1:14" ht="12.75" customHeight="1" x14ac:dyDescent="0.25">
      <c r="A66" s="294" t="s">
        <v>55</v>
      </c>
      <c r="B66" s="294"/>
      <c r="C66" s="295"/>
      <c r="D66" s="1"/>
      <c r="E66" s="324">
        <v>0</v>
      </c>
      <c r="F66" s="429">
        <v>0</v>
      </c>
      <c r="G66" s="220"/>
      <c r="H66" s="296">
        <v>9</v>
      </c>
      <c r="I66" s="608">
        <f t="shared" si="0"/>
        <v>0</v>
      </c>
      <c r="J66" s="188"/>
      <c r="K66" s="709" t="s">
        <v>290</v>
      </c>
    </row>
    <row r="67" spans="1:14" s="303" customFormat="1" ht="12.75" customHeight="1" x14ac:dyDescent="0.25">
      <c r="A67" s="580" t="s">
        <v>164</v>
      </c>
      <c r="B67" s="580"/>
      <c r="C67" s="581"/>
      <c r="E67" s="582"/>
      <c r="F67" s="609">
        <v>0</v>
      </c>
      <c r="H67" s="634"/>
      <c r="I67" s="681">
        <f t="shared" si="0"/>
        <v>0</v>
      </c>
      <c r="J67" s="301"/>
      <c r="K67" s="719" t="s">
        <v>304</v>
      </c>
      <c r="L67" s="302"/>
      <c r="M67" s="302"/>
    </row>
    <row r="68" spans="1:14" s="303" customFormat="1" ht="12.75" customHeight="1" x14ac:dyDescent="0.25">
      <c r="A68" s="580" t="s">
        <v>164</v>
      </c>
      <c r="B68" s="580"/>
      <c r="C68" s="581"/>
      <c r="E68" s="582"/>
      <c r="F68" s="609">
        <v>0</v>
      </c>
      <c r="H68" s="634"/>
      <c r="I68" s="681">
        <f t="shared" si="0"/>
        <v>0</v>
      </c>
      <c r="J68" s="301"/>
      <c r="K68" s="720" t="s">
        <v>286</v>
      </c>
      <c r="L68" s="302"/>
      <c r="M68" s="302"/>
    </row>
    <row r="69" spans="1:14" s="303" customFormat="1" ht="12.75" customHeight="1" x14ac:dyDescent="0.25">
      <c r="A69" s="297" t="s">
        <v>164</v>
      </c>
      <c r="B69" s="297"/>
      <c r="C69" s="298"/>
      <c r="D69" s="299"/>
      <c r="E69" s="300"/>
      <c r="F69" s="610">
        <v>0</v>
      </c>
      <c r="G69" s="299"/>
      <c r="H69" s="314"/>
      <c r="I69" s="682">
        <f t="shared" si="0"/>
        <v>0</v>
      </c>
      <c r="J69" s="301"/>
      <c r="K69" s="720" t="s">
        <v>305</v>
      </c>
      <c r="L69" s="302"/>
      <c r="M69" s="302"/>
    </row>
    <row r="70" spans="1:14" ht="12.75" customHeight="1" x14ac:dyDescent="0.25">
      <c r="A70" s="213" t="s">
        <v>190</v>
      </c>
      <c r="B70" s="193"/>
      <c r="C70" s="28"/>
      <c r="D70" s="1"/>
      <c r="E70" s="607">
        <f>SUM(E57:E66)</f>
        <v>1</v>
      </c>
      <c r="F70" s="246">
        <f>SUM(F57:F69)</f>
        <v>1</v>
      </c>
      <c r="I70" s="608">
        <f>SUM(I57:I69)</f>
        <v>164512.79999999999</v>
      </c>
      <c r="J70" s="188"/>
      <c r="K70" s="715"/>
    </row>
    <row r="71" spans="1:14" ht="12.75" customHeight="1" x14ac:dyDescent="0.25">
      <c r="G71" s="247"/>
      <c r="I71" s="42"/>
      <c r="J71" s="188"/>
    </row>
    <row r="72" spans="1:14" ht="12.75" customHeight="1" x14ac:dyDescent="0.25">
      <c r="A72" s="356" t="s">
        <v>172</v>
      </c>
      <c r="B72" s="357"/>
      <c r="C72" s="357"/>
      <c r="D72" s="343"/>
      <c r="E72" s="343"/>
      <c r="F72" s="343"/>
      <c r="G72" s="364"/>
      <c r="H72" s="343"/>
      <c r="I72" s="343"/>
      <c r="J72" s="380"/>
    </row>
    <row r="73" spans="1:14" ht="4.5" customHeight="1" x14ac:dyDescent="0.2">
      <c r="A73" s="11"/>
      <c r="B73" s="11"/>
      <c r="C73" s="11"/>
      <c r="D73" s="11"/>
      <c r="E73" s="11"/>
      <c r="F73" s="11"/>
      <c r="G73" s="11"/>
      <c r="H73" s="11"/>
      <c r="I73" s="2"/>
      <c r="J73" s="2"/>
      <c r="K73" s="11"/>
      <c r="L73" s="11"/>
      <c r="M73" s="11"/>
    </row>
    <row r="74" spans="1:14" ht="12.75" customHeight="1" x14ac:dyDescent="0.25">
      <c r="A74" s="311" t="s">
        <v>191</v>
      </c>
      <c r="G74" s="247"/>
      <c r="I74" s="599">
        <f>I70</f>
        <v>164512.79999999999</v>
      </c>
      <c r="J74" s="380"/>
    </row>
    <row r="75" spans="1:14" ht="12.75" customHeight="1" x14ac:dyDescent="0.25">
      <c r="A75" s="48" t="s">
        <v>113</v>
      </c>
      <c r="F75" s="255">
        <v>0</v>
      </c>
      <c r="G75" s="572"/>
      <c r="H75" s="256">
        <v>0</v>
      </c>
      <c r="I75" s="599">
        <f>F75*H75</f>
        <v>0</v>
      </c>
      <c r="J75" s="171"/>
      <c r="L75" s="44"/>
      <c r="M75" s="44"/>
      <c r="N75" s="44"/>
    </row>
    <row r="76" spans="1:14" ht="4.5" customHeight="1" x14ac:dyDescent="0.2">
      <c r="A76" s="11"/>
      <c r="B76" s="11"/>
      <c r="C76" s="11"/>
      <c r="D76" s="11"/>
      <c r="E76" s="11"/>
      <c r="F76" s="11"/>
      <c r="G76" s="11"/>
      <c r="H76" s="11"/>
      <c r="I76" s="2"/>
      <c r="J76" s="2"/>
      <c r="K76" s="11"/>
      <c r="L76" s="11"/>
      <c r="M76" s="11"/>
    </row>
    <row r="77" spans="1:14" s="32" customFormat="1" ht="12.75" x14ac:dyDescent="0.2">
      <c r="A77" s="125" t="s">
        <v>112</v>
      </c>
      <c r="B77" s="126"/>
      <c r="C77" s="127"/>
      <c r="D77" s="127"/>
      <c r="E77" s="128"/>
      <c r="F77" s="129"/>
      <c r="G77" s="248"/>
      <c r="H77" s="128"/>
      <c r="I77" s="130">
        <f>I74+I75</f>
        <v>164512.79999999999</v>
      </c>
      <c r="K77" s="36"/>
    </row>
    <row r="78" spans="1:14" s="32" customFormat="1" ht="4.5" customHeight="1" x14ac:dyDescent="0.2">
      <c r="B78" s="33"/>
      <c r="C78" s="34"/>
      <c r="D78" s="34"/>
      <c r="E78" s="65"/>
      <c r="F78" s="66"/>
      <c r="G78" s="242"/>
      <c r="H78" s="93"/>
      <c r="I78" s="119"/>
      <c r="K78" s="36"/>
    </row>
    <row r="79" spans="1:14" s="32" customFormat="1" ht="12.75" x14ac:dyDescent="0.2">
      <c r="A79" s="68" t="s">
        <v>13</v>
      </c>
      <c r="B79" s="33"/>
      <c r="C79" s="34"/>
      <c r="D79" s="34"/>
      <c r="E79" s="76"/>
      <c r="F79" s="239">
        <v>0.04</v>
      </c>
      <c r="H79" s="94"/>
      <c r="I79" s="120">
        <f>ROUND(I77*F79,2)</f>
        <v>6580.51</v>
      </c>
      <c r="K79" s="36"/>
    </row>
    <row r="80" spans="1:14" s="32" customFormat="1" ht="3" customHeight="1" x14ac:dyDescent="0.2">
      <c r="A80" s="69"/>
      <c r="B80" s="70"/>
      <c r="C80" s="71"/>
      <c r="D80" s="71"/>
      <c r="E80" s="77"/>
      <c r="F80" s="240"/>
      <c r="G80" s="69"/>
      <c r="H80" s="95"/>
      <c r="I80" s="121"/>
      <c r="K80" s="36"/>
    </row>
    <row r="81" spans="1:13" s="32" customFormat="1" ht="3" customHeight="1" x14ac:dyDescent="0.2">
      <c r="B81" s="33"/>
      <c r="C81" s="34"/>
      <c r="D81" s="34"/>
      <c r="E81" s="72"/>
      <c r="F81" s="242"/>
      <c r="H81" s="93"/>
      <c r="I81" s="119"/>
      <c r="K81" s="36"/>
    </row>
    <row r="82" spans="1:13" s="32" customFormat="1" ht="12.75" x14ac:dyDescent="0.2">
      <c r="A82" s="372" t="s">
        <v>175</v>
      </c>
      <c r="B82" s="373"/>
      <c r="C82" s="374"/>
      <c r="D82" s="374"/>
      <c r="E82" s="363"/>
      <c r="F82" s="362"/>
      <c r="G82" s="375"/>
      <c r="H82" s="360"/>
      <c r="I82" s="376">
        <f>I77+I79</f>
        <v>171093.31</v>
      </c>
      <c r="K82" s="36"/>
    </row>
    <row r="83" spans="1:13" s="159" customFormat="1" ht="4.5" customHeight="1" x14ac:dyDescent="0.2">
      <c r="A83" s="73"/>
      <c r="B83" s="74"/>
      <c r="C83" s="75"/>
      <c r="D83" s="75"/>
      <c r="E83" s="35"/>
      <c r="F83" s="336"/>
      <c r="H83" s="94"/>
      <c r="I83" s="122"/>
      <c r="K83" s="36"/>
    </row>
    <row r="84" spans="1:13" s="32" customFormat="1" ht="12.75" x14ac:dyDescent="0.2">
      <c r="A84" s="32" t="s">
        <v>150</v>
      </c>
      <c r="B84" s="33"/>
      <c r="D84" s="34"/>
      <c r="E84" s="72"/>
      <c r="F84" s="570">
        <v>0</v>
      </c>
      <c r="H84" s="38"/>
      <c r="I84" s="123">
        <f>ROUND(I82*F84,2)</f>
        <v>0</v>
      </c>
      <c r="K84" s="36"/>
    </row>
    <row r="85" spans="1:13" s="32" customFormat="1" ht="3" customHeight="1" x14ac:dyDescent="0.2">
      <c r="A85" s="37"/>
      <c r="B85" s="231"/>
      <c r="C85" s="78"/>
      <c r="D85" s="78"/>
      <c r="E85" s="72"/>
      <c r="F85" s="67"/>
      <c r="H85" s="93"/>
      <c r="I85" s="124"/>
      <c r="K85" s="36"/>
    </row>
    <row r="86" spans="1:13" s="32" customFormat="1" ht="3" customHeight="1" x14ac:dyDescent="0.2">
      <c r="A86" s="69"/>
      <c r="B86" s="70"/>
      <c r="C86" s="71"/>
      <c r="D86" s="71"/>
      <c r="E86" s="77"/>
      <c r="F86" s="240"/>
      <c r="G86" s="69"/>
      <c r="H86" s="95"/>
      <c r="I86" s="121"/>
      <c r="K86" s="36"/>
    </row>
    <row r="87" spans="1:13" s="32" customFormat="1" ht="3" customHeight="1" x14ac:dyDescent="0.2">
      <c r="B87" s="33"/>
      <c r="C87" s="34"/>
      <c r="D87" s="34"/>
      <c r="E87" s="72"/>
      <c r="F87" s="242"/>
      <c r="H87" s="93"/>
      <c r="I87" s="119"/>
      <c r="K87" s="36"/>
    </row>
    <row r="88" spans="1:13" s="32" customFormat="1" ht="12.75" x14ac:dyDescent="0.2">
      <c r="A88" s="372" t="s">
        <v>176</v>
      </c>
      <c r="B88" s="373"/>
      <c r="C88" s="374"/>
      <c r="D88" s="374"/>
      <c r="E88" s="363"/>
      <c r="F88" s="362"/>
      <c r="G88" s="375"/>
      <c r="H88" s="360"/>
      <c r="I88" s="376">
        <f>I77+I79</f>
        <v>171093.31</v>
      </c>
      <c r="K88" s="36"/>
    </row>
    <row r="89" spans="1:13" s="159" customFormat="1" ht="4.5" customHeight="1" x14ac:dyDescent="0.2">
      <c r="A89" s="73"/>
      <c r="B89" s="74"/>
      <c r="C89" s="75"/>
      <c r="D89" s="75"/>
      <c r="E89" s="615"/>
      <c r="I89" s="171"/>
      <c r="J89" s="36"/>
      <c r="K89" s="81"/>
      <c r="L89" s="82"/>
      <c r="M89" s="83"/>
    </row>
    <row r="90" spans="1:13" s="32" customFormat="1" ht="12.75" x14ac:dyDescent="0.2">
      <c r="A90" s="32" t="s">
        <v>14</v>
      </c>
      <c r="B90" s="33"/>
      <c r="D90" s="34"/>
      <c r="E90" s="72"/>
      <c r="F90" s="38">
        <v>0.2</v>
      </c>
      <c r="H90" s="38"/>
      <c r="I90" s="123">
        <f>ROUND(I88*F90,2)</f>
        <v>34218.660000000003</v>
      </c>
      <c r="K90" s="36"/>
    </row>
    <row r="91" spans="1:13" s="32" customFormat="1" ht="3" customHeight="1" x14ac:dyDescent="0.2">
      <c r="A91" s="37"/>
      <c r="B91" s="231"/>
      <c r="C91" s="78"/>
      <c r="D91" s="78"/>
      <c r="E91" s="72"/>
      <c r="F91" s="67"/>
      <c r="H91" s="93"/>
      <c r="I91" s="124"/>
      <c r="K91" s="36"/>
    </row>
    <row r="92" spans="1:13" s="37" customFormat="1" ht="12.75" x14ac:dyDescent="0.2">
      <c r="A92" s="223" t="s">
        <v>111</v>
      </c>
      <c r="B92" s="232"/>
      <c r="C92" s="224"/>
      <c r="D92" s="224"/>
      <c r="E92" s="225"/>
      <c r="F92" s="227"/>
      <c r="G92" s="227"/>
      <c r="H92" s="227"/>
      <c r="I92" s="228">
        <f>SUM(I88:I90)</f>
        <v>205311.97</v>
      </c>
      <c r="K92" s="36"/>
    </row>
    <row r="93" spans="1:13" ht="5.0999999999999996" customHeight="1" x14ac:dyDescent="0.2">
      <c r="F93" s="8"/>
    </row>
    <row r="99" spans="1:1" ht="12.75" x14ac:dyDescent="0.2">
      <c r="A99" s="153" t="s">
        <v>91</v>
      </c>
    </row>
    <row r="100" spans="1:1" ht="12.75" x14ac:dyDescent="0.2">
      <c r="A100" s="153" t="s">
        <v>90</v>
      </c>
    </row>
  </sheetData>
  <mergeCells count="17">
    <mergeCell ref="I34:J34"/>
    <mergeCell ref="A50:E50"/>
    <mergeCell ref="A7:B7"/>
    <mergeCell ref="A9:B9"/>
    <mergeCell ref="A11:B11"/>
    <mergeCell ref="A13:B13"/>
    <mergeCell ref="A15:B15"/>
    <mergeCell ref="A16:B16"/>
    <mergeCell ref="A19:B19"/>
    <mergeCell ref="A31:B31"/>
    <mergeCell ref="H2:I2"/>
    <mergeCell ref="A21:B21"/>
    <mergeCell ref="A23:B23"/>
    <mergeCell ref="A25:B25"/>
    <mergeCell ref="A27:B27"/>
    <mergeCell ref="A17:B17"/>
    <mergeCell ref="A18:B18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&amp;L&amp;"Arial,Fett"&amp;9&amp;K01+016Leitfaden Vergabe technische Beratung &amp; Planung &amp;R&amp;"Arial,Standard"&amp;9&amp;K01+016 Juni 2018                              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tabColor theme="6"/>
  </sheetPr>
  <dimension ref="A1:N91"/>
  <sheetViews>
    <sheetView showGridLines="0" tabSelected="1" view="pageLayout" topLeftCell="A67" zoomScaleNormal="70" zoomScaleSheetLayoutView="115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.7109375" style="59" customWidth="1"/>
    <col min="12" max="16384" width="11.5703125" style="1"/>
  </cols>
  <sheetData>
    <row r="1" spans="1:13" ht="5.0999999999999996" customHeight="1" x14ac:dyDescent="0.25">
      <c r="F1" s="8"/>
      <c r="G1" s="42"/>
      <c r="H1" s="9"/>
      <c r="I1" s="10"/>
      <c r="J1" s="59"/>
      <c r="K1" s="554"/>
      <c r="L1" s="554"/>
      <c r="M1" s="554"/>
    </row>
    <row r="2" spans="1:13" s="54" customFormat="1" ht="35.1" customHeight="1" x14ac:dyDescent="0.25">
      <c r="A2" s="137"/>
      <c r="C2" s="13"/>
      <c r="D2" s="103"/>
      <c r="E2" s="841" t="s">
        <v>332</v>
      </c>
      <c r="F2" s="841"/>
      <c r="G2" s="841"/>
      <c r="H2" s="841"/>
      <c r="I2" s="841"/>
      <c r="J2" s="62"/>
      <c r="K2" s="56"/>
      <c r="L2" s="56"/>
      <c r="M2" s="56"/>
    </row>
    <row r="3" spans="1:13" s="143" customFormat="1" ht="12.95" customHeight="1" x14ac:dyDescent="0.25">
      <c r="A3" s="573" t="s">
        <v>106</v>
      </c>
      <c r="B3" s="573"/>
      <c r="C3" s="573"/>
      <c r="D3" s="573"/>
      <c r="E3" s="573"/>
      <c r="F3" s="573"/>
      <c r="G3" s="573"/>
      <c r="H3" s="573"/>
      <c r="I3" s="573"/>
      <c r="J3" s="147"/>
      <c r="K3" s="3"/>
    </row>
    <row r="4" spans="1:13" s="11" customFormat="1" ht="6" customHeight="1" x14ac:dyDescent="0.25">
      <c r="I4" s="2"/>
      <c r="J4" s="2"/>
    </row>
    <row r="5" spans="1:13" s="11" customFormat="1" ht="12.95" customHeight="1" x14ac:dyDescent="0.25">
      <c r="E5" s="100" t="s">
        <v>82</v>
      </c>
      <c r="F5" s="45" t="s">
        <v>50</v>
      </c>
      <c r="G5" s="45"/>
      <c r="H5" s="16" t="s">
        <v>16</v>
      </c>
      <c r="I5" s="117" t="s">
        <v>51</v>
      </c>
      <c r="J5" s="45"/>
    </row>
    <row r="6" spans="1:13" s="11" customFormat="1" ht="6" customHeight="1" x14ac:dyDescent="0.25">
      <c r="F6" s="98"/>
      <c r="I6" s="2"/>
      <c r="J6" s="2"/>
    </row>
    <row r="7" spans="1:13" s="12" customFormat="1" ht="12.95" customHeight="1" x14ac:dyDescent="0.2">
      <c r="A7" s="821">
        <v>1</v>
      </c>
      <c r="B7" s="821"/>
      <c r="C7" s="106"/>
      <c r="D7" s="107" t="s">
        <v>0</v>
      </c>
      <c r="E7" s="597">
        <f>F7/_1_9</f>
        <v>2.1739888766278866E-3</v>
      </c>
      <c r="F7" s="389">
        <f>_1</f>
        <v>70000</v>
      </c>
      <c r="G7" s="104"/>
      <c r="H7" s="135">
        <v>0</v>
      </c>
      <c r="I7" s="389">
        <f>F7*H7</f>
        <v>0</v>
      </c>
      <c r="J7" s="50"/>
    </row>
    <row r="8" spans="1:13" ht="2.25" customHeight="1" x14ac:dyDescent="0.25">
      <c r="B8" s="4"/>
      <c r="C8" s="6"/>
      <c r="D8" s="1"/>
      <c r="E8" s="161"/>
      <c r="F8" s="174"/>
      <c r="G8" s="1"/>
      <c r="H8" s="631"/>
      <c r="I8" s="174"/>
      <c r="J8" s="63"/>
      <c r="K8" s="554"/>
      <c r="L8" s="554"/>
      <c r="M8" s="554"/>
    </row>
    <row r="9" spans="1:13" s="12" customFormat="1" ht="12.75" customHeight="1" x14ac:dyDescent="0.2">
      <c r="A9" s="821">
        <v>2</v>
      </c>
      <c r="B9" s="821"/>
      <c r="C9" s="106"/>
      <c r="D9" s="107" t="s">
        <v>1</v>
      </c>
      <c r="E9" s="597">
        <f>F9/_1_9</f>
        <v>0.27951285556644256</v>
      </c>
      <c r="F9" s="389">
        <f>_2</f>
        <v>9000000</v>
      </c>
      <c r="G9" s="104"/>
      <c r="H9" s="135">
        <v>0</v>
      </c>
      <c r="I9" s="389">
        <f>F9*H9</f>
        <v>0</v>
      </c>
      <c r="J9" s="50"/>
    </row>
    <row r="10" spans="1:13" ht="2.25" customHeight="1" x14ac:dyDescent="0.25">
      <c r="B10" s="13"/>
      <c r="C10" s="13"/>
      <c r="D10" s="14"/>
      <c r="E10" s="161"/>
      <c r="F10" s="175"/>
      <c r="G10" s="1"/>
      <c r="H10" s="631"/>
      <c r="I10" s="175"/>
      <c r="J10" s="50"/>
      <c r="K10" s="554"/>
      <c r="L10" s="554"/>
      <c r="M10" s="554"/>
    </row>
    <row r="11" spans="1:13" s="11" customFormat="1" ht="12.95" customHeight="1" x14ac:dyDescent="0.2">
      <c r="A11" s="821">
        <v>3</v>
      </c>
      <c r="B11" s="821"/>
      <c r="C11" s="106"/>
      <c r="D11" s="107" t="s">
        <v>7</v>
      </c>
      <c r="E11" s="597">
        <f>F11/_1_9</f>
        <v>0.25156157000979829</v>
      </c>
      <c r="F11" s="389">
        <f>_3</f>
        <v>8100000</v>
      </c>
      <c r="G11" s="104"/>
      <c r="H11" s="135">
        <v>0</v>
      </c>
      <c r="I11" s="389">
        <f>F11*H11</f>
        <v>0</v>
      </c>
      <c r="J11" s="50"/>
    </row>
    <row r="12" spans="1:13" ht="2.25" customHeight="1" x14ac:dyDescent="0.25">
      <c r="B12" s="13"/>
      <c r="C12" s="13"/>
      <c r="D12" s="14"/>
      <c r="E12" s="161"/>
      <c r="F12" s="158"/>
      <c r="G12" s="1"/>
      <c r="H12" s="630"/>
      <c r="I12" s="158"/>
      <c r="J12" s="49"/>
      <c r="K12" s="554"/>
      <c r="L12" s="554"/>
      <c r="M12" s="554"/>
    </row>
    <row r="13" spans="1:13" s="11" customFormat="1" ht="12.75" customHeight="1" x14ac:dyDescent="0.2">
      <c r="A13" s="821">
        <v>4</v>
      </c>
      <c r="B13" s="821"/>
      <c r="C13" s="106"/>
      <c r="D13" s="107" t="s">
        <v>2</v>
      </c>
      <c r="E13" s="597">
        <f>F13/_1_9</f>
        <v>0.20187039568687518</v>
      </c>
      <c r="F13" s="389">
        <f>_4</f>
        <v>6500000</v>
      </c>
      <c r="G13" s="104"/>
      <c r="H13" s="135">
        <v>0</v>
      </c>
      <c r="I13" s="389">
        <f>F13*H13</f>
        <v>0</v>
      </c>
      <c r="J13" s="50"/>
    </row>
    <row r="14" spans="1:13" ht="2.25" customHeight="1" x14ac:dyDescent="0.25">
      <c r="B14" s="4"/>
      <c r="C14" s="6"/>
      <c r="D14" s="1"/>
      <c r="E14" s="161"/>
      <c r="F14" s="158"/>
      <c r="G14" s="1"/>
      <c r="H14" s="632"/>
      <c r="I14" s="158"/>
      <c r="J14" s="48"/>
      <c r="K14" s="43"/>
      <c r="L14" s="554"/>
      <c r="M14" s="554"/>
    </row>
    <row r="15" spans="1:13" s="12" customFormat="1" ht="12.95" customHeight="1" x14ac:dyDescent="0.2">
      <c r="A15" s="821">
        <v>5</v>
      </c>
      <c r="B15" s="821"/>
      <c r="C15" s="106"/>
      <c r="D15" s="107" t="s">
        <v>9</v>
      </c>
      <c r="E15" s="597">
        <f>F15/_1_9</f>
        <v>5.1244023520514471E-2</v>
      </c>
      <c r="F15" s="389">
        <f>_5</f>
        <v>1650000</v>
      </c>
      <c r="G15" s="104"/>
      <c r="H15" s="135">
        <v>0</v>
      </c>
      <c r="I15" s="389">
        <f>H15*F15</f>
        <v>0</v>
      </c>
      <c r="J15" s="50"/>
    </row>
    <row r="16" spans="1:13" ht="2.25" customHeight="1" x14ac:dyDescent="0.25">
      <c r="B16" s="13"/>
      <c r="C16" s="13"/>
      <c r="D16" s="14"/>
      <c r="E16" s="161"/>
      <c r="F16" s="175"/>
      <c r="G16" s="1"/>
      <c r="H16" s="631"/>
      <c r="I16" s="175"/>
      <c r="J16" s="50"/>
      <c r="K16" s="43"/>
      <c r="L16" s="554"/>
      <c r="M16" s="554"/>
    </row>
    <row r="17" spans="1:13" s="11" customFormat="1" ht="12.75" customHeight="1" x14ac:dyDescent="0.2">
      <c r="A17" s="821">
        <v>6</v>
      </c>
      <c r="B17" s="821"/>
      <c r="C17" s="106"/>
      <c r="D17" s="107" t="s">
        <v>3</v>
      </c>
      <c r="E17" s="597">
        <f>F17/_1_9</f>
        <v>1.5528491975913475E-2</v>
      </c>
      <c r="F17" s="389">
        <f>_6</f>
        <v>500000</v>
      </c>
      <c r="G17" s="104"/>
      <c r="H17" s="135">
        <v>1</v>
      </c>
      <c r="I17" s="389">
        <f>F17*H17</f>
        <v>500000</v>
      </c>
      <c r="J17" s="50"/>
    </row>
    <row r="18" spans="1:13" ht="2.25" customHeight="1" x14ac:dyDescent="0.25">
      <c r="B18" s="17"/>
      <c r="C18" s="5"/>
      <c r="D18" s="1"/>
      <c r="E18" s="164"/>
      <c r="F18" s="158"/>
      <c r="G18" s="1"/>
      <c r="H18" s="632"/>
      <c r="I18" s="158"/>
      <c r="J18" s="50"/>
      <c r="K18" s="18"/>
      <c r="L18" s="555"/>
      <c r="M18" s="555"/>
    </row>
    <row r="19" spans="1:13" s="12" customFormat="1" ht="12.95" customHeight="1" x14ac:dyDescent="0.2">
      <c r="A19" s="821">
        <v>7</v>
      </c>
      <c r="B19" s="821"/>
      <c r="C19" s="106"/>
      <c r="D19" s="107" t="s">
        <v>166</v>
      </c>
      <c r="E19" s="597">
        <f>F19/_1_9</f>
        <v>0.14729944861863917</v>
      </c>
      <c r="F19" s="389">
        <f>_7</f>
        <v>4742876.7985686567</v>
      </c>
      <c r="G19" s="104"/>
      <c r="H19" s="135">
        <v>0</v>
      </c>
      <c r="I19" s="389">
        <f>F19*H19</f>
        <v>0</v>
      </c>
      <c r="J19" s="50"/>
      <c r="K19" s="3"/>
    </row>
    <row r="20" spans="1:13" ht="2.25" customHeight="1" x14ac:dyDescent="0.25">
      <c r="B20" s="13"/>
      <c r="C20" s="13"/>
      <c r="D20" s="14"/>
      <c r="E20" s="164"/>
      <c r="F20" s="175"/>
      <c r="G20" s="1"/>
      <c r="H20" s="631"/>
      <c r="I20" s="175"/>
      <c r="J20" s="50"/>
      <c r="K20" s="18"/>
      <c r="L20" s="555"/>
      <c r="M20" s="554"/>
    </row>
    <row r="21" spans="1:13" s="12" customFormat="1" ht="12.95" customHeight="1" x14ac:dyDescent="0.2">
      <c r="A21" s="821">
        <v>8</v>
      </c>
      <c r="B21" s="821"/>
      <c r="C21" s="106"/>
      <c r="D21" s="107" t="s">
        <v>165</v>
      </c>
      <c r="E21" s="597">
        <f>F21/_1_9</f>
        <v>1.1180514222657702E-3</v>
      </c>
      <c r="F21" s="389">
        <f>_8</f>
        <v>36000</v>
      </c>
      <c r="G21" s="104"/>
      <c r="H21" s="135">
        <v>0</v>
      </c>
      <c r="I21" s="389">
        <f>F21*H21</f>
        <v>0</v>
      </c>
      <c r="J21" s="50"/>
      <c r="K21" s="187"/>
    </row>
    <row r="22" spans="1:13" ht="2.25" customHeight="1" x14ac:dyDescent="0.25">
      <c r="B22" s="13"/>
      <c r="C22" s="13"/>
      <c r="D22" s="14"/>
      <c r="E22" s="164"/>
      <c r="F22" s="158"/>
      <c r="G22" s="1"/>
      <c r="H22" s="630"/>
      <c r="I22" s="158"/>
      <c r="J22" s="49"/>
      <c r="K22" s="30"/>
      <c r="L22" s="555"/>
      <c r="M22" s="554"/>
    </row>
    <row r="23" spans="1:13" s="12" customFormat="1" ht="12.95" customHeight="1" x14ac:dyDescent="0.2">
      <c r="A23" s="821">
        <v>9</v>
      </c>
      <c r="B23" s="821"/>
      <c r="C23" s="106"/>
      <c r="D23" s="107" t="s">
        <v>10</v>
      </c>
      <c r="E23" s="597">
        <f>F23/_1_9</f>
        <v>4.9691174322923123E-2</v>
      </c>
      <c r="F23" s="389">
        <f>_9</f>
        <v>1600000</v>
      </c>
      <c r="G23" s="104"/>
      <c r="H23" s="135">
        <v>0.02</v>
      </c>
      <c r="I23" s="389">
        <f>F23*H23</f>
        <v>32000</v>
      </c>
      <c r="J23" s="50"/>
      <c r="K23" s="30"/>
    </row>
    <row r="24" spans="1:13" ht="12" customHeight="1" x14ac:dyDescent="0.25">
      <c r="B24" s="17"/>
      <c r="C24" s="5"/>
      <c r="D24" s="1"/>
      <c r="E24" s="47"/>
      <c r="F24" s="1"/>
      <c r="G24" s="1"/>
      <c r="H24" s="1"/>
      <c r="I24" s="1"/>
      <c r="J24" s="1"/>
      <c r="K24" s="30"/>
      <c r="L24" s="555"/>
      <c r="M24" s="554"/>
    </row>
    <row r="25" spans="1:13" s="141" customFormat="1" ht="12.95" customHeight="1" x14ac:dyDescent="0.25">
      <c r="A25" s="538" t="s">
        <v>12</v>
      </c>
      <c r="B25" s="539"/>
      <c r="C25" s="539"/>
      <c r="D25" s="539"/>
      <c r="E25" s="148">
        <f>SUM(E7:E23)</f>
        <v>0.99999999999999989</v>
      </c>
      <c r="F25" s="146">
        <f>SUM(F7+F9+F11+F13+F15+F17+F19+F21+F23)</f>
        <v>32198876.798568659</v>
      </c>
      <c r="G25" s="149"/>
      <c r="H25" s="191"/>
      <c r="I25" s="3"/>
      <c r="J25" s="3"/>
      <c r="K25" s="3"/>
      <c r="L25" s="150"/>
      <c r="M25" s="150"/>
    </row>
    <row r="26" spans="1:13" ht="4.5" customHeight="1" x14ac:dyDescent="0.25">
      <c r="B26" s="13"/>
      <c r="C26" s="13"/>
      <c r="D26" s="14"/>
      <c r="E26" s="47"/>
      <c r="F26" s="14"/>
      <c r="G26" s="1"/>
      <c r="H26" s="19"/>
      <c r="I26" s="15"/>
      <c r="J26" s="18"/>
      <c r="K26" s="30"/>
      <c r="L26" s="555"/>
      <c r="M26" s="554"/>
    </row>
    <row r="27" spans="1:13" s="143" customFormat="1" ht="12.95" customHeight="1" x14ac:dyDescent="0.25">
      <c r="A27" s="321" t="s">
        <v>32</v>
      </c>
      <c r="B27" s="539"/>
      <c r="C27" s="539"/>
      <c r="D27" s="539"/>
      <c r="E27" s="539"/>
      <c r="F27" s="539"/>
      <c r="G27" s="539"/>
      <c r="H27" s="320"/>
      <c r="I27" s="146">
        <f>SUM(I7:I23)</f>
        <v>532000</v>
      </c>
      <c r="J27" s="147"/>
      <c r="K27" s="3"/>
    </row>
    <row r="28" spans="1:13" s="21" customFormat="1" ht="13.5" customHeight="1" x14ac:dyDescent="0.25">
      <c r="B28" s="23"/>
      <c r="C28" s="23"/>
      <c r="D28" s="22"/>
      <c r="E28" s="46"/>
      <c r="F28" s="46"/>
      <c r="G28" s="22"/>
      <c r="H28" s="46"/>
      <c r="I28" s="192"/>
      <c r="J28" s="192"/>
      <c r="K28" s="29"/>
    </row>
    <row r="29" spans="1:13" ht="12.75" customHeight="1" x14ac:dyDescent="0.2">
      <c r="A29" s="340" t="s">
        <v>83</v>
      </c>
      <c r="B29" s="341"/>
      <c r="C29" s="341"/>
      <c r="D29" s="341"/>
      <c r="E29" s="341"/>
      <c r="F29" s="341"/>
      <c r="G29" s="341"/>
      <c r="H29" s="341"/>
      <c r="I29" s="342"/>
      <c r="J29" s="308"/>
      <c r="K29" s="18"/>
    </row>
    <row r="30" spans="1:13" ht="4.5" customHeight="1" x14ac:dyDescent="0.2">
      <c r="A30" s="195"/>
      <c r="B30" s="196"/>
      <c r="C30" s="196"/>
      <c r="D30" s="196"/>
      <c r="E30" s="196"/>
      <c r="F30" s="196"/>
      <c r="G30" s="196"/>
      <c r="H30" s="196"/>
      <c r="I30" s="57"/>
      <c r="J30" s="220"/>
      <c r="K30" s="18"/>
    </row>
    <row r="31" spans="1:13" ht="12.75" customHeight="1" x14ac:dyDescent="0.2">
      <c r="A31" s="25"/>
      <c r="B31" s="25"/>
      <c r="C31" s="25"/>
      <c r="D31" s="1"/>
      <c r="E31" s="1"/>
      <c r="F31" s="197" t="s">
        <v>5</v>
      </c>
      <c r="H31" s="198" t="s">
        <v>4</v>
      </c>
      <c r="I31" s="19"/>
      <c r="J31" s="309"/>
      <c r="K31" s="58"/>
    </row>
    <row r="32" spans="1:13" ht="12.75" customHeight="1" x14ac:dyDescent="0.2">
      <c r="B32" s="26" t="s">
        <v>46</v>
      </c>
      <c r="C32" s="60"/>
      <c r="D32" s="51"/>
      <c r="E32" s="51"/>
      <c r="F32" s="151">
        <v>10</v>
      </c>
      <c r="H32" s="199" t="s">
        <v>33</v>
      </c>
      <c r="I32" s="19"/>
      <c r="J32" s="309"/>
      <c r="K32" s="58"/>
    </row>
    <row r="33" spans="1:13" ht="12.75" customHeight="1" x14ac:dyDescent="0.2">
      <c r="B33" s="27" t="s">
        <v>47</v>
      </c>
      <c r="C33" s="61"/>
      <c r="D33" s="52"/>
      <c r="E33" s="52"/>
      <c r="F33" s="151">
        <v>2</v>
      </c>
      <c r="G33" s="200"/>
      <c r="H33" s="200" t="s">
        <v>6</v>
      </c>
      <c r="I33" s="19"/>
      <c r="J33" s="309"/>
      <c r="K33" s="58"/>
    </row>
    <row r="34" spans="1:13" ht="12.75" customHeight="1" x14ac:dyDescent="0.2">
      <c r="B34" s="27" t="s">
        <v>48</v>
      </c>
      <c r="C34" s="61"/>
      <c r="D34" s="52"/>
      <c r="E34" s="52"/>
      <c r="F34" s="151">
        <v>1</v>
      </c>
      <c r="G34" s="200"/>
      <c r="H34" s="200" t="s">
        <v>6</v>
      </c>
      <c r="I34" s="19"/>
      <c r="J34" s="309"/>
      <c r="K34" s="58"/>
    </row>
    <row r="35" spans="1:13" ht="12.75" customHeight="1" x14ac:dyDescent="0.2">
      <c r="B35" s="27" t="s">
        <v>49</v>
      </c>
      <c r="C35" s="52"/>
      <c r="D35" s="52"/>
      <c r="E35" s="52"/>
      <c r="F35" s="151">
        <v>2</v>
      </c>
      <c r="G35" s="200"/>
      <c r="H35" s="200" t="s">
        <v>6</v>
      </c>
      <c r="I35" s="19"/>
      <c r="J35" s="309"/>
      <c r="K35" s="58"/>
    </row>
    <row r="36" spans="1:13" ht="4.5" customHeight="1" x14ac:dyDescent="0.2">
      <c r="A36" s="40"/>
      <c r="B36" s="40"/>
      <c r="C36" s="40"/>
      <c r="D36" s="1"/>
      <c r="E36" s="1"/>
      <c r="F36" s="201"/>
      <c r="H36" s="201"/>
      <c r="I36" s="57"/>
      <c r="J36" s="309"/>
      <c r="K36" s="58"/>
    </row>
    <row r="37" spans="1:13" ht="12.75" customHeight="1" x14ac:dyDescent="0.25">
      <c r="B37" s="27" t="s">
        <v>143</v>
      </c>
      <c r="C37" s="61"/>
      <c r="D37" s="52"/>
      <c r="E37" s="52"/>
      <c r="F37" s="563"/>
      <c r="G37" s="329"/>
      <c r="H37" s="200" t="s">
        <v>57</v>
      </c>
      <c r="I37" s="309"/>
      <c r="J37" s="58"/>
      <c r="K37" s="554"/>
      <c r="L37" s="554"/>
      <c r="M37" s="554"/>
    </row>
    <row r="38" spans="1:13" ht="12.75" customHeight="1" x14ac:dyDescent="0.25">
      <c r="B38" s="27" t="s">
        <v>144</v>
      </c>
      <c r="C38" s="61"/>
      <c r="D38" s="52"/>
      <c r="E38" s="52"/>
      <c r="F38" s="563"/>
      <c r="G38" s="329"/>
      <c r="H38" s="200" t="s">
        <v>57</v>
      </c>
      <c r="I38" s="309"/>
      <c r="J38" s="58"/>
      <c r="K38" s="554"/>
      <c r="L38" s="554"/>
      <c r="M38" s="554"/>
    </row>
    <row r="39" spans="1:13" ht="12.75" customHeight="1" x14ac:dyDescent="0.25">
      <c r="B39" s="27" t="s">
        <v>181</v>
      </c>
      <c r="C39" s="61"/>
      <c r="D39" s="52"/>
      <c r="E39" s="52"/>
      <c r="F39" s="563"/>
      <c r="G39" s="329"/>
      <c r="H39" s="200" t="s">
        <v>148</v>
      </c>
      <c r="I39" s="309"/>
      <c r="J39" s="58"/>
      <c r="K39" s="554"/>
      <c r="L39" s="554"/>
      <c r="M39" s="554"/>
    </row>
    <row r="40" spans="1:13" ht="12.75" customHeight="1" x14ac:dyDescent="0.25">
      <c r="B40" s="27" t="s">
        <v>183</v>
      </c>
      <c r="C40" s="61"/>
      <c r="D40" s="52"/>
      <c r="E40" s="52"/>
      <c r="F40" s="563"/>
      <c r="G40" s="329"/>
      <c r="H40" s="200" t="s">
        <v>149</v>
      </c>
      <c r="I40" s="309"/>
      <c r="J40" s="58"/>
      <c r="K40" s="554"/>
      <c r="L40" s="554"/>
      <c r="M40" s="554"/>
    </row>
    <row r="41" spans="1:13" ht="12.75" customHeight="1" x14ac:dyDescent="0.25">
      <c r="B41" s="27" t="s">
        <v>266</v>
      </c>
      <c r="C41" s="61"/>
      <c r="D41" s="52"/>
      <c r="E41" s="52"/>
      <c r="F41" s="563"/>
      <c r="G41" s="329"/>
      <c r="H41" s="200" t="s">
        <v>57</v>
      </c>
      <c r="I41" s="309"/>
      <c r="J41" s="58"/>
      <c r="K41" s="554"/>
      <c r="L41" s="554"/>
      <c r="M41" s="554"/>
    </row>
    <row r="42" spans="1:13" ht="12.75" customHeight="1" x14ac:dyDescent="0.25">
      <c r="B42" s="27" t="s">
        <v>267</v>
      </c>
      <c r="C42" s="61"/>
      <c r="D42" s="52"/>
      <c r="E42" s="52"/>
      <c r="F42" s="563"/>
      <c r="G42" s="329"/>
      <c r="H42" s="200" t="s">
        <v>149</v>
      </c>
      <c r="I42" s="309"/>
      <c r="J42" s="58"/>
      <c r="K42" s="554"/>
      <c r="L42" s="554"/>
      <c r="M42" s="554"/>
    </row>
    <row r="43" spans="1:13" ht="4.5" customHeight="1" x14ac:dyDescent="0.2">
      <c r="A43" s="40"/>
      <c r="B43" s="40"/>
      <c r="C43" s="1"/>
      <c r="D43" s="203"/>
      <c r="E43" s="203"/>
      <c r="F43" s="203"/>
      <c r="H43" s="203"/>
      <c r="I43" s="57"/>
      <c r="J43" s="309"/>
      <c r="K43" s="1"/>
    </row>
    <row r="44" spans="1:13" ht="12.75" customHeight="1" x14ac:dyDescent="0.2">
      <c r="B44" s="25" t="s">
        <v>45</v>
      </c>
      <c r="C44" s="1"/>
      <c r="D44" s="202"/>
      <c r="E44" s="203"/>
      <c r="F44" s="204">
        <f>SUM(F32:F42)</f>
        <v>15</v>
      </c>
      <c r="H44" s="203"/>
      <c r="I44" s="19"/>
      <c r="J44" s="309"/>
      <c r="K44" s="1"/>
    </row>
    <row r="45" spans="1:13" ht="12.95" customHeight="1" x14ac:dyDescent="0.2">
      <c r="B45" s="40"/>
      <c r="C45" s="1"/>
      <c r="D45" s="203"/>
      <c r="E45" s="203"/>
      <c r="F45" s="203"/>
      <c r="H45" s="203"/>
      <c r="I45" s="57"/>
      <c r="J45" s="309"/>
      <c r="K45" s="1"/>
    </row>
    <row r="46" spans="1:13" ht="12.95" customHeight="1" x14ac:dyDescent="0.2">
      <c r="A46" s="340" t="s">
        <v>171</v>
      </c>
      <c r="B46" s="340"/>
      <c r="C46" s="341"/>
      <c r="D46" s="341"/>
      <c r="E46" s="341"/>
      <c r="F46" s="341"/>
      <c r="G46" s="343"/>
      <c r="H46" s="341"/>
      <c r="I46" s="344"/>
      <c r="J46" s="1"/>
      <c r="K46" s="18"/>
    </row>
    <row r="47" spans="1:13" ht="4.5" customHeight="1" x14ac:dyDescent="0.2">
      <c r="A47" s="205"/>
      <c r="B47" s="205"/>
      <c r="C47" s="205"/>
      <c r="D47" s="205"/>
      <c r="F47" s="8"/>
      <c r="I47" s="19"/>
      <c r="J47" s="1"/>
      <c r="K47" s="18"/>
    </row>
    <row r="48" spans="1:13" ht="14.25" customHeight="1" x14ac:dyDescent="0.2">
      <c r="A48" s="206" t="s">
        <v>11</v>
      </c>
      <c r="B48" s="206"/>
      <c r="C48" s="1"/>
      <c r="F48" s="230">
        <f>I27</f>
        <v>532000</v>
      </c>
      <c r="I48" s="19"/>
      <c r="J48" s="1"/>
      <c r="K48" s="18"/>
    </row>
    <row r="49" spans="1:11" ht="14.25" customHeight="1" x14ac:dyDescent="0.25">
      <c r="A49" s="28" t="s">
        <v>59</v>
      </c>
      <c r="B49" s="28"/>
      <c r="C49" s="28"/>
      <c r="D49" s="28"/>
      <c r="E49" s="24"/>
      <c r="F49" s="133">
        <f>((0.9672-(125060/((F48/90)+32000))+96.72*(F48/90)^(-(0.25))))*F48/90</f>
        <v>51420.919131705588</v>
      </c>
      <c r="I49" s="19"/>
      <c r="J49" s="348"/>
      <c r="K49" s="18"/>
    </row>
    <row r="50" spans="1:11" ht="14.25" customHeight="1" x14ac:dyDescent="0.25">
      <c r="A50" s="28" t="s">
        <v>60</v>
      </c>
      <c r="B50" s="28"/>
      <c r="C50" s="28"/>
      <c r="D50" s="1"/>
      <c r="E50" s="1"/>
      <c r="F50" s="131">
        <f>0.044*F44+0.66</f>
        <v>1.3199999999999998</v>
      </c>
      <c r="H50" s="155"/>
      <c r="I50" s="19"/>
      <c r="J50" s="348"/>
      <c r="K50" s="18"/>
    </row>
    <row r="51" spans="1:11" ht="14.25" customHeight="1" x14ac:dyDescent="0.25">
      <c r="A51" s="28" t="s">
        <v>62</v>
      </c>
      <c r="B51" s="28"/>
      <c r="C51" s="28"/>
      <c r="D51" s="1"/>
      <c r="E51" s="1"/>
      <c r="F51" s="221">
        <f>ROUND(F49/F48*100*F50/100,4)</f>
        <v>0.12759999999999999</v>
      </c>
      <c r="G51" s="234" t="s">
        <v>107</v>
      </c>
      <c r="H51" s="1"/>
      <c r="I51" s="19"/>
      <c r="J51" s="348"/>
      <c r="K51" s="18"/>
    </row>
    <row r="52" spans="1:11" ht="14.25" customHeight="1" x14ac:dyDescent="0.3">
      <c r="A52" s="311" t="s">
        <v>192</v>
      </c>
      <c r="B52" s="25"/>
      <c r="C52" s="25"/>
      <c r="D52" s="312"/>
      <c r="E52" s="208"/>
      <c r="F52" s="323">
        <f>ROUND(F48*F51,2)</f>
        <v>67883.199999999997</v>
      </c>
      <c r="G52" s="349" t="s">
        <v>174</v>
      </c>
      <c r="H52" s="1"/>
      <c r="I52" s="19"/>
      <c r="J52" s="348"/>
      <c r="K52" s="18"/>
    </row>
    <row r="53" spans="1:11" ht="12.95" customHeight="1" x14ac:dyDescent="0.2">
      <c r="A53" s="311"/>
      <c r="B53" s="25"/>
      <c r="C53" s="25"/>
      <c r="D53" s="312"/>
      <c r="E53" s="208"/>
      <c r="F53" s="326"/>
      <c r="G53" s="209"/>
      <c r="H53" s="209"/>
      <c r="I53" s="19"/>
      <c r="J53" s="15"/>
      <c r="K53" s="18"/>
    </row>
    <row r="54" spans="1:11" ht="12.95" customHeight="1" x14ac:dyDescent="0.2">
      <c r="A54" s="350" t="s">
        <v>170</v>
      </c>
      <c r="B54" s="351"/>
      <c r="C54" s="351"/>
      <c r="D54" s="352"/>
      <c r="E54" s="352"/>
      <c r="F54" s="353"/>
      <c r="G54" s="343"/>
      <c r="H54" s="353"/>
      <c r="I54" s="342"/>
      <c r="J54" s="41"/>
      <c r="K54" s="18"/>
    </row>
    <row r="55" spans="1:11" ht="4.5" customHeight="1" x14ac:dyDescent="0.2">
      <c r="A55" s="39"/>
      <c r="B55" s="40"/>
      <c r="C55" s="40"/>
      <c r="D55" s="208"/>
      <c r="E55" s="208"/>
      <c r="F55" s="209"/>
      <c r="H55" s="209"/>
      <c r="I55" s="57"/>
      <c r="J55" s="41"/>
      <c r="K55" s="18"/>
    </row>
    <row r="56" spans="1:11" ht="12.75" customHeight="1" x14ac:dyDescent="0.25">
      <c r="A56" s="210" t="s">
        <v>98</v>
      </c>
      <c r="B56" s="210"/>
      <c r="C56" s="211"/>
      <c r="D56" s="1"/>
      <c r="E56" s="324">
        <v>0.02</v>
      </c>
      <c r="F56" s="354">
        <v>0.02</v>
      </c>
      <c r="H56" s="212">
        <v>1</v>
      </c>
      <c r="I56" s="594">
        <f>IF($F$48=0,"-",$F$52*F56)</f>
        <v>1357.664</v>
      </c>
      <c r="J56" s="188"/>
    </row>
    <row r="57" spans="1:11" ht="12.75" customHeight="1" x14ac:dyDescent="0.25">
      <c r="A57" s="210" t="s">
        <v>36</v>
      </c>
      <c r="B57" s="210"/>
      <c r="C57" s="211"/>
      <c r="D57" s="1"/>
      <c r="E57" s="324">
        <v>0.1</v>
      </c>
      <c r="F57" s="354">
        <v>0.1</v>
      </c>
      <c r="H57" s="212">
        <v>2</v>
      </c>
      <c r="I57" s="594">
        <f t="shared" ref="I57:I68" si="0">IF($F$48=0,"-",$F$52*F57)</f>
        <v>6788.32</v>
      </c>
      <c r="J57" s="188"/>
    </row>
    <row r="58" spans="1:11" ht="12.75" customHeight="1" x14ac:dyDescent="0.25">
      <c r="A58" s="210" t="s">
        <v>37</v>
      </c>
      <c r="B58" s="210"/>
      <c r="C58" s="211"/>
      <c r="D58" s="1"/>
      <c r="E58" s="324">
        <v>0.12</v>
      </c>
      <c r="F58" s="354">
        <v>0.12</v>
      </c>
      <c r="H58" s="212">
        <v>3</v>
      </c>
      <c r="I58" s="594">
        <f t="shared" si="0"/>
        <v>8145.9839999999995</v>
      </c>
      <c r="J58" s="188"/>
    </row>
    <row r="59" spans="1:11" ht="12.75" customHeight="1" x14ac:dyDescent="0.25">
      <c r="A59" s="210" t="s">
        <v>38</v>
      </c>
      <c r="B59" s="210"/>
      <c r="C59" s="211"/>
      <c r="D59" s="1"/>
      <c r="E59" s="324">
        <v>0.04</v>
      </c>
      <c r="F59" s="354">
        <v>0.04</v>
      </c>
      <c r="H59" s="212">
        <v>4</v>
      </c>
      <c r="I59" s="594">
        <f t="shared" si="0"/>
        <v>2715.328</v>
      </c>
      <c r="J59" s="188"/>
    </row>
    <row r="60" spans="1:11" ht="12.75" customHeight="1" x14ac:dyDescent="0.25">
      <c r="A60" s="210" t="s">
        <v>39</v>
      </c>
      <c r="B60" s="210"/>
      <c r="C60" s="211"/>
      <c r="D60" s="1"/>
      <c r="E60" s="324">
        <v>0.2</v>
      </c>
      <c r="F60" s="354">
        <v>0.2</v>
      </c>
      <c r="H60" s="212">
        <v>5</v>
      </c>
      <c r="I60" s="594">
        <f t="shared" si="0"/>
        <v>13576.64</v>
      </c>
      <c r="J60" s="188"/>
    </row>
    <row r="61" spans="1:11" ht="12.75" customHeight="1" x14ac:dyDescent="0.25">
      <c r="A61" s="210" t="s">
        <v>40</v>
      </c>
      <c r="B61" s="210"/>
      <c r="C61" s="211"/>
      <c r="D61" s="1"/>
      <c r="E61" s="324">
        <v>7.0000000000000007E-2</v>
      </c>
      <c r="F61" s="354">
        <v>7.0000000000000007E-2</v>
      </c>
      <c r="H61" s="212">
        <v>6</v>
      </c>
      <c r="I61" s="594">
        <f t="shared" si="0"/>
        <v>4751.8240000000005</v>
      </c>
      <c r="J61" s="188"/>
    </row>
    <row r="62" spans="1:11" ht="12.75" customHeight="1" x14ac:dyDescent="0.25">
      <c r="A62" s="210" t="s">
        <v>41</v>
      </c>
      <c r="B62" s="210"/>
      <c r="C62" s="211"/>
      <c r="D62" s="1"/>
      <c r="E62" s="324">
        <v>0.03</v>
      </c>
      <c r="F62" s="354">
        <v>0.03</v>
      </c>
      <c r="H62" s="212"/>
      <c r="I62" s="594">
        <f t="shared" si="0"/>
        <v>2036.4959999999999</v>
      </c>
      <c r="J62" s="188"/>
    </row>
    <row r="63" spans="1:11" ht="12.75" customHeight="1" x14ac:dyDescent="0.25">
      <c r="A63" s="210" t="s">
        <v>54</v>
      </c>
      <c r="B63" s="210"/>
      <c r="C63" s="211"/>
      <c r="D63" s="1"/>
      <c r="E63" s="324">
        <v>7.0000000000000007E-2</v>
      </c>
      <c r="F63" s="354">
        <v>7.0000000000000007E-2</v>
      </c>
      <c r="H63" s="212">
        <v>7</v>
      </c>
      <c r="I63" s="594">
        <f t="shared" si="0"/>
        <v>4751.8240000000005</v>
      </c>
      <c r="J63" s="188"/>
    </row>
    <row r="64" spans="1:11" ht="12.75" customHeight="1" x14ac:dyDescent="0.25">
      <c r="A64" s="193" t="s">
        <v>43</v>
      </c>
      <c r="B64" s="193"/>
      <c r="C64" s="211"/>
      <c r="D64" s="1"/>
      <c r="E64" s="324">
        <v>0.33</v>
      </c>
      <c r="F64" s="354">
        <v>0.33</v>
      </c>
      <c r="H64" s="212">
        <v>8</v>
      </c>
      <c r="I64" s="594">
        <f t="shared" si="0"/>
        <v>22401.455999999998</v>
      </c>
      <c r="J64" s="188"/>
    </row>
    <row r="65" spans="1:14" ht="12.75" customHeight="1" x14ac:dyDescent="0.25">
      <c r="A65" s="294" t="s">
        <v>55</v>
      </c>
      <c r="B65" s="294"/>
      <c r="C65" s="295"/>
      <c r="D65" s="1"/>
      <c r="E65" s="324">
        <v>0.02</v>
      </c>
      <c r="F65" s="354">
        <v>0.02</v>
      </c>
      <c r="G65" s="220"/>
      <c r="H65" s="296">
        <v>9</v>
      </c>
      <c r="I65" s="594">
        <f t="shared" si="0"/>
        <v>1357.664</v>
      </c>
      <c r="J65" s="188"/>
    </row>
    <row r="66" spans="1:14" s="303" customFormat="1" ht="12.75" customHeight="1" x14ac:dyDescent="0.25">
      <c r="A66" s="580" t="s">
        <v>164</v>
      </c>
      <c r="B66" s="580"/>
      <c r="C66" s="581"/>
      <c r="E66" s="582"/>
      <c r="F66" s="588">
        <v>0</v>
      </c>
      <c r="H66" s="583"/>
      <c r="I66" s="595">
        <f t="shared" si="0"/>
        <v>0</v>
      </c>
      <c r="J66" s="301"/>
      <c r="K66" s="302"/>
      <c r="L66" s="302"/>
      <c r="M66" s="302"/>
    </row>
    <row r="67" spans="1:14" s="303" customFormat="1" ht="12.75" customHeight="1" x14ac:dyDescent="0.25">
      <c r="A67" s="580" t="s">
        <v>164</v>
      </c>
      <c r="B67" s="580"/>
      <c r="C67" s="581"/>
      <c r="E67" s="582"/>
      <c r="F67" s="588">
        <v>0</v>
      </c>
      <c r="H67" s="583"/>
      <c r="I67" s="595">
        <f t="shared" si="0"/>
        <v>0</v>
      </c>
      <c r="J67" s="301"/>
      <c r="K67" s="302"/>
      <c r="L67" s="302"/>
      <c r="M67" s="302"/>
    </row>
    <row r="68" spans="1:14" s="303" customFormat="1" ht="12.75" customHeight="1" x14ac:dyDescent="0.25">
      <c r="A68" s="297" t="s">
        <v>164</v>
      </c>
      <c r="B68" s="297"/>
      <c r="C68" s="298"/>
      <c r="D68" s="299"/>
      <c r="E68" s="300"/>
      <c r="F68" s="589">
        <v>0</v>
      </c>
      <c r="G68" s="299"/>
      <c r="H68" s="314"/>
      <c r="I68" s="595">
        <f t="shared" si="0"/>
        <v>0</v>
      </c>
      <c r="J68" s="301"/>
      <c r="K68" s="302"/>
      <c r="L68" s="302"/>
      <c r="M68" s="302"/>
    </row>
    <row r="69" spans="1:14" ht="12.75" customHeight="1" x14ac:dyDescent="0.25">
      <c r="A69" s="213" t="s">
        <v>190</v>
      </c>
      <c r="B69" s="193"/>
      <c r="C69" s="28"/>
      <c r="D69" s="1"/>
      <c r="E69" s="384">
        <f>SUM(E56:E65)</f>
        <v>1.0000000000000002</v>
      </c>
      <c r="F69" s="246">
        <f>SUM(F56:F68)</f>
        <v>1.0000000000000002</v>
      </c>
      <c r="H69" s="217"/>
      <c r="I69" s="600">
        <f>SUM(I56:I68)</f>
        <v>67883.199999999997</v>
      </c>
      <c r="J69" s="188"/>
    </row>
    <row r="70" spans="1:14" ht="12.75" customHeight="1" x14ac:dyDescent="0.25">
      <c r="F70" s="8"/>
      <c r="J70" s="188"/>
    </row>
    <row r="71" spans="1:14" ht="12.75" customHeight="1" x14ac:dyDescent="0.2">
      <c r="A71" s="368" t="s">
        <v>172</v>
      </c>
      <c r="B71" s="368"/>
      <c r="C71" s="368"/>
      <c r="D71" s="368"/>
      <c r="E71" s="368"/>
      <c r="F71" s="368"/>
      <c r="G71" s="368"/>
      <c r="H71" s="368"/>
      <c r="I71" s="368"/>
      <c r="J71" s="147"/>
      <c r="K71" s="3"/>
      <c r="L71" s="143"/>
      <c r="M71" s="143"/>
    </row>
    <row r="72" spans="1:14" ht="4.5" customHeight="1" x14ac:dyDescent="0.2">
      <c r="A72" s="11"/>
      <c r="B72" s="11"/>
      <c r="C72" s="11"/>
      <c r="D72" s="11"/>
      <c r="E72" s="11"/>
      <c r="F72" s="11"/>
      <c r="G72" s="11"/>
      <c r="H72" s="11"/>
      <c r="I72" s="2"/>
      <c r="J72" s="2"/>
      <c r="K72" s="11"/>
      <c r="L72" s="11"/>
      <c r="M72" s="11"/>
    </row>
    <row r="73" spans="1:14" ht="12.75" customHeight="1" x14ac:dyDescent="0.3">
      <c r="A73" s="311" t="s">
        <v>99</v>
      </c>
      <c r="B73" s="369"/>
      <c r="C73" s="369"/>
      <c r="D73" s="369"/>
      <c r="E73" s="316"/>
      <c r="F73" s="382"/>
      <c r="G73" s="828"/>
      <c r="H73" s="829"/>
      <c r="I73" s="599">
        <f>I69</f>
        <v>67883.199999999997</v>
      </c>
      <c r="J73" s="369"/>
      <c r="K73" s="370"/>
      <c r="L73" s="370"/>
      <c r="M73" s="370"/>
    </row>
    <row r="74" spans="1:14" ht="12.75" customHeight="1" x14ac:dyDescent="0.25">
      <c r="A74" s="48" t="s">
        <v>113</v>
      </c>
      <c r="F74" s="366">
        <v>0</v>
      </c>
      <c r="G74" s="572"/>
      <c r="H74" s="367">
        <v>0</v>
      </c>
      <c r="I74" s="599">
        <f>F74*H74</f>
        <v>0</v>
      </c>
      <c r="L74" s="365"/>
      <c r="M74" s="365"/>
      <c r="N74" s="44"/>
    </row>
    <row r="75" spans="1:14" ht="4.5" customHeight="1" x14ac:dyDescent="0.2">
      <c r="A75" s="11"/>
      <c r="B75" s="11"/>
      <c r="C75" s="11"/>
      <c r="D75" s="11"/>
      <c r="E75" s="11"/>
      <c r="F75" s="11"/>
      <c r="G75" s="11"/>
      <c r="H75" s="11"/>
      <c r="I75" s="2"/>
      <c r="J75" s="2"/>
      <c r="K75" s="11"/>
      <c r="L75" s="11"/>
      <c r="M75" s="11"/>
    </row>
    <row r="76" spans="1:14" s="32" customFormat="1" ht="12.75" x14ac:dyDescent="0.2">
      <c r="A76" s="125" t="s">
        <v>268</v>
      </c>
      <c r="B76" s="126"/>
      <c r="C76" s="127"/>
      <c r="D76" s="127"/>
      <c r="E76" s="128"/>
      <c r="F76" s="128"/>
      <c r="G76" s="128"/>
      <c r="H76" s="128"/>
      <c r="I76" s="130">
        <f>I73+I74</f>
        <v>67883.199999999997</v>
      </c>
      <c r="K76" s="36"/>
    </row>
    <row r="77" spans="1:14" s="32" customFormat="1" ht="4.5" customHeight="1" x14ac:dyDescent="0.2">
      <c r="B77" s="33"/>
      <c r="C77" s="34"/>
      <c r="D77" s="34"/>
      <c r="E77" s="65"/>
      <c r="F77" s="67"/>
      <c r="H77" s="93"/>
      <c r="I77" s="119"/>
      <c r="K77" s="36"/>
    </row>
    <row r="78" spans="1:14" s="32" customFormat="1" ht="12.75" x14ac:dyDescent="0.2">
      <c r="A78" s="68" t="s">
        <v>13</v>
      </c>
      <c r="B78" s="33"/>
      <c r="C78" s="34"/>
      <c r="D78" s="34"/>
      <c r="E78" s="76"/>
      <c r="F78" s="239">
        <v>0.04</v>
      </c>
      <c r="H78" s="94"/>
      <c r="I78" s="120">
        <f>ROUND(I76*F78,2)</f>
        <v>2715.33</v>
      </c>
      <c r="K78" s="36"/>
    </row>
    <row r="79" spans="1:14" s="32" customFormat="1" ht="3" customHeight="1" x14ac:dyDescent="0.2">
      <c r="A79" s="69"/>
      <c r="B79" s="70"/>
      <c r="C79" s="71"/>
      <c r="D79" s="71"/>
      <c r="E79" s="77"/>
      <c r="F79" s="240"/>
      <c r="G79" s="95"/>
      <c r="H79" s="95"/>
      <c r="I79" s="121"/>
      <c r="K79" s="36"/>
    </row>
    <row r="80" spans="1:14" s="32" customFormat="1" ht="3" customHeight="1" x14ac:dyDescent="0.2">
      <c r="B80" s="33"/>
      <c r="C80" s="34"/>
      <c r="D80" s="34"/>
      <c r="E80" s="72"/>
      <c r="F80" s="242"/>
      <c r="H80" s="93"/>
      <c r="I80" s="119"/>
      <c r="K80" s="36"/>
    </row>
    <row r="81" spans="1:13" s="32" customFormat="1" ht="12.75" x14ac:dyDescent="0.2">
      <c r="A81" s="372" t="s">
        <v>269</v>
      </c>
      <c r="B81" s="373"/>
      <c r="C81" s="374"/>
      <c r="D81" s="374"/>
      <c r="E81" s="363"/>
      <c r="F81" s="362"/>
      <c r="G81" s="361"/>
      <c r="H81" s="360"/>
      <c r="I81" s="376">
        <f>I78+I76</f>
        <v>70598.53</v>
      </c>
      <c r="K81" s="36"/>
    </row>
    <row r="82" spans="1:13" s="159" customFormat="1" ht="4.5" customHeight="1" x14ac:dyDescent="0.2">
      <c r="A82" s="73"/>
      <c r="B82" s="74"/>
      <c r="C82" s="75"/>
      <c r="D82" s="75"/>
      <c r="E82" s="35"/>
      <c r="F82" s="336"/>
      <c r="G82" s="93"/>
      <c r="H82" s="94"/>
      <c r="I82" s="122"/>
      <c r="K82" s="36"/>
    </row>
    <row r="83" spans="1:13" s="32" customFormat="1" ht="12.75" x14ac:dyDescent="0.2">
      <c r="A83" s="32" t="s">
        <v>150</v>
      </c>
      <c r="B83" s="33"/>
      <c r="D83" s="34"/>
      <c r="E83" s="72"/>
      <c r="F83" s="570">
        <v>0.04</v>
      </c>
      <c r="H83" s="38"/>
      <c r="I83" s="123">
        <f>ROUND(I81*F83,2)</f>
        <v>2823.94</v>
      </c>
      <c r="K83" s="36"/>
    </row>
    <row r="84" spans="1:13" s="32" customFormat="1" ht="3" customHeight="1" x14ac:dyDescent="0.2">
      <c r="A84" s="69"/>
      <c r="B84" s="70"/>
      <c r="C84" s="71"/>
      <c r="D84" s="71"/>
      <c r="E84" s="77"/>
      <c r="F84" s="240"/>
      <c r="G84" s="95"/>
      <c r="H84" s="95"/>
      <c r="I84" s="121"/>
      <c r="K84" s="36"/>
    </row>
    <row r="85" spans="1:13" s="32" customFormat="1" ht="3" customHeight="1" x14ac:dyDescent="0.2">
      <c r="B85" s="33"/>
      <c r="C85" s="34"/>
      <c r="D85" s="34"/>
      <c r="E85" s="72"/>
      <c r="F85" s="242"/>
      <c r="H85" s="93"/>
      <c r="I85" s="119"/>
      <c r="K85" s="36"/>
    </row>
    <row r="86" spans="1:13" s="32" customFormat="1" ht="12.75" x14ac:dyDescent="0.2">
      <c r="A86" s="372" t="s">
        <v>307</v>
      </c>
      <c r="B86" s="373"/>
      <c r="C86" s="374"/>
      <c r="D86" s="374"/>
      <c r="E86" s="363"/>
      <c r="F86" s="362"/>
      <c r="G86" s="361"/>
      <c r="H86" s="360"/>
      <c r="I86" s="376">
        <f>I81+I83</f>
        <v>73422.47</v>
      </c>
      <c r="K86" s="36"/>
    </row>
    <row r="87" spans="1:13" s="159" customFormat="1" ht="4.5" customHeight="1" x14ac:dyDescent="0.2">
      <c r="A87" s="73"/>
      <c r="B87" s="74"/>
      <c r="C87" s="75"/>
      <c r="D87" s="75"/>
      <c r="E87" s="615"/>
      <c r="I87" s="171"/>
      <c r="J87" s="36"/>
      <c r="K87" s="81"/>
      <c r="L87" s="82"/>
      <c r="M87" s="83"/>
    </row>
    <row r="88" spans="1:13" s="32" customFormat="1" ht="12.75" x14ac:dyDescent="0.2">
      <c r="A88" s="32" t="s">
        <v>14</v>
      </c>
      <c r="B88" s="33"/>
      <c r="D88" s="34"/>
      <c r="E88" s="72"/>
      <c r="F88" s="38">
        <v>0.2</v>
      </c>
      <c r="H88" s="38"/>
      <c r="I88" s="123">
        <f>ROUND(I86*F88,2)</f>
        <v>14684.49</v>
      </c>
      <c r="K88" s="36"/>
    </row>
    <row r="89" spans="1:13" s="32" customFormat="1" ht="3" customHeight="1" x14ac:dyDescent="0.2">
      <c r="A89" s="37"/>
      <c r="B89" s="231"/>
      <c r="C89" s="78"/>
      <c r="D89" s="78"/>
      <c r="E89" s="72"/>
      <c r="F89" s="67"/>
      <c r="H89" s="93"/>
      <c r="I89" s="124"/>
      <c r="K89" s="36"/>
    </row>
    <row r="90" spans="1:13" s="37" customFormat="1" ht="12.75" x14ac:dyDescent="0.2">
      <c r="A90" s="223" t="s">
        <v>308</v>
      </c>
      <c r="B90" s="232"/>
      <c r="C90" s="224"/>
      <c r="D90" s="224"/>
      <c r="E90" s="225"/>
      <c r="F90" s="227"/>
      <c r="G90" s="227"/>
      <c r="H90" s="227"/>
      <c r="I90" s="228">
        <f>SUM(I86:I88)</f>
        <v>88106.96</v>
      </c>
      <c r="K90" s="36"/>
    </row>
    <row r="91" spans="1:13" ht="5.0999999999999996" customHeight="1" x14ac:dyDescent="0.2">
      <c r="F91" s="8"/>
    </row>
  </sheetData>
  <mergeCells count="11">
    <mergeCell ref="E2:I2"/>
    <mergeCell ref="A17:B17"/>
    <mergeCell ref="A19:B19"/>
    <mergeCell ref="A21:B21"/>
    <mergeCell ref="G73:H73"/>
    <mergeCell ref="A23:B23"/>
    <mergeCell ref="A7:B7"/>
    <mergeCell ref="A9:B9"/>
    <mergeCell ref="A11:B11"/>
    <mergeCell ref="A13:B13"/>
    <mergeCell ref="A15:B15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&amp;L&amp;"Arial,Fett"&amp;10&amp;K00-046Vergabemodelle&amp;R&amp;"Arial,Fett"&amp;10&amp;K00-047Vertrag Generalplanung - Anhang 3</oddHeader>
    <oddFooter>&amp;L&amp;"Arial,Standard"&amp;9&amp;K01+008Seite &amp;P von &amp;N                              Juni 2018&amp;R&amp;"Arial,Fett"&amp;9&amp;K01+008Leitfaden Vergabe technische Beratung &amp; Planung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tabColor rgb="FF996633"/>
  </sheetPr>
  <dimension ref="A1:N103"/>
  <sheetViews>
    <sheetView showGridLines="0" tabSelected="1" view="pageLayout" zoomScale="115" zoomScaleNormal="85" zoomScaleSheetLayoutView="85" zoomScalePageLayoutView="115" workbookViewId="0">
      <selection activeCell="D49" sqref="D49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2" customWidth="1"/>
    <col min="6" max="6" width="14.7109375" style="42" customWidth="1"/>
    <col min="7" max="7" width="2.7109375" style="8" customWidth="1"/>
    <col min="8" max="8" width="11.28515625" style="42" customWidth="1"/>
    <col min="9" max="9" width="14.7109375" style="9" customWidth="1" collapsed="1"/>
    <col min="10" max="10" width="2.7109375" style="10" customWidth="1"/>
    <col min="11" max="11" width="22.7109375" style="59" customWidth="1"/>
    <col min="12" max="12" width="5.7109375" style="1" customWidth="1"/>
    <col min="13" max="16384" width="11.5703125" style="1"/>
  </cols>
  <sheetData>
    <row r="1" spans="1:11" ht="5.0999999999999996" customHeight="1" x14ac:dyDescent="0.2"/>
    <row r="2" spans="1:11" s="54" customFormat="1" ht="35.1" customHeight="1" x14ac:dyDescent="0.2">
      <c r="C2" s="13"/>
      <c r="D2" s="103"/>
      <c r="G2" s="55"/>
      <c r="H2" s="820" t="s">
        <v>333</v>
      </c>
      <c r="I2" s="820"/>
      <c r="K2" s="62"/>
    </row>
    <row r="3" spans="1:11" s="11" customFormat="1" ht="12.95" customHeight="1" x14ac:dyDescent="0.2">
      <c r="A3" s="445" t="s">
        <v>106</v>
      </c>
      <c r="B3" s="475"/>
      <c r="C3" s="475"/>
      <c r="D3" s="475"/>
      <c r="E3" s="475"/>
      <c r="F3" s="475"/>
      <c r="G3" s="475"/>
      <c r="H3" s="475"/>
      <c r="I3" s="475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100" t="s">
        <v>82</v>
      </c>
      <c r="F5" s="45" t="s">
        <v>50</v>
      </c>
      <c r="H5" s="16" t="s">
        <v>16</v>
      </c>
      <c r="I5" s="117" t="s">
        <v>51</v>
      </c>
      <c r="K5" s="45"/>
    </row>
    <row r="6" spans="1:11" s="11" customFormat="1" ht="6" customHeight="1" x14ac:dyDescent="0.25">
      <c r="F6" s="98"/>
      <c r="I6" s="2"/>
      <c r="K6" s="2"/>
    </row>
    <row r="7" spans="1:11" s="12" customFormat="1" ht="12.95" customHeight="1" x14ac:dyDescent="0.2">
      <c r="A7" s="821">
        <v>1</v>
      </c>
      <c r="B7" s="821"/>
      <c r="C7" s="106"/>
      <c r="D7" s="107" t="s">
        <v>0</v>
      </c>
      <c r="E7" s="160">
        <f>F7/_1_9</f>
        <v>2.1739888766278866E-3</v>
      </c>
      <c r="F7" s="179">
        <f>Projektkennwerte!M8</f>
        <v>70000</v>
      </c>
      <c r="G7" s="104"/>
      <c r="H7" s="135">
        <v>0</v>
      </c>
      <c r="I7" s="179">
        <f>F7*H7</f>
        <v>0</v>
      </c>
      <c r="K7" s="50"/>
    </row>
    <row r="8" spans="1:11" ht="2.25" customHeight="1" x14ac:dyDescent="0.2">
      <c r="B8" s="4"/>
      <c r="C8" s="6"/>
      <c r="D8" s="1"/>
      <c r="E8" s="161"/>
      <c r="F8" s="174"/>
      <c r="G8" s="1"/>
      <c r="H8" s="631"/>
      <c r="I8" s="174"/>
      <c r="K8" s="63"/>
    </row>
    <row r="9" spans="1:11" s="12" customFormat="1" ht="12.95" customHeight="1" x14ac:dyDescent="0.2">
      <c r="A9" s="821">
        <v>2</v>
      </c>
      <c r="B9" s="821"/>
      <c r="C9" s="106"/>
      <c r="D9" s="107" t="s">
        <v>1</v>
      </c>
      <c r="E9" s="160">
        <f>F9/_1_9</f>
        <v>0.27951285556644256</v>
      </c>
      <c r="F9" s="179">
        <f>Projektkennwerte!M10</f>
        <v>9000000</v>
      </c>
      <c r="G9" s="104"/>
      <c r="H9" s="135">
        <v>1</v>
      </c>
      <c r="I9" s="179">
        <f>F9*H9</f>
        <v>9000000</v>
      </c>
      <c r="K9" s="50"/>
    </row>
    <row r="10" spans="1:11" ht="2.25" customHeight="1" x14ac:dyDescent="0.2">
      <c r="B10" s="4"/>
      <c r="C10" s="6"/>
      <c r="D10" s="1"/>
      <c r="E10" s="161"/>
      <c r="F10" s="174"/>
      <c r="G10" s="1"/>
      <c r="H10" s="631"/>
      <c r="I10" s="174"/>
      <c r="K10" s="63"/>
    </row>
    <row r="11" spans="1:11" s="11" customFormat="1" ht="12.95" customHeight="1" x14ac:dyDescent="0.2">
      <c r="A11" s="821">
        <v>3</v>
      </c>
      <c r="B11" s="821"/>
      <c r="C11" s="106"/>
      <c r="D11" s="107" t="s">
        <v>7</v>
      </c>
      <c r="E11" s="160">
        <f>F11/_1_9</f>
        <v>0.25156157000979829</v>
      </c>
      <c r="F11" s="389">
        <f>_3</f>
        <v>8100000</v>
      </c>
      <c r="G11" s="104"/>
      <c r="H11" s="633"/>
      <c r="I11" s="158"/>
      <c r="K11" s="50"/>
    </row>
    <row r="12" spans="1:11" ht="12.95" customHeight="1" x14ac:dyDescent="0.2">
      <c r="A12" s="840">
        <v>3</v>
      </c>
      <c r="B12" s="840"/>
      <c r="C12" s="109" t="s">
        <v>17</v>
      </c>
      <c r="D12" s="110" t="s">
        <v>18</v>
      </c>
      <c r="E12" s="162"/>
      <c r="F12" s="176">
        <f>_3Sanitär</f>
        <v>900000</v>
      </c>
      <c r="G12" s="104"/>
      <c r="H12" s="136">
        <v>0.05</v>
      </c>
      <c r="I12" s="180">
        <f>F12*H12</f>
        <v>45000</v>
      </c>
      <c r="K12" s="50"/>
    </row>
    <row r="13" spans="1:11" ht="12.95" customHeight="1" x14ac:dyDescent="0.2">
      <c r="A13" s="842">
        <v>3</v>
      </c>
      <c r="B13" s="842"/>
      <c r="C13" s="111" t="s">
        <v>19</v>
      </c>
      <c r="D13" s="112" t="s">
        <v>26</v>
      </c>
      <c r="E13" s="163"/>
      <c r="F13" s="177">
        <f>_3Heizung</f>
        <v>1000000</v>
      </c>
      <c r="G13" s="104"/>
      <c r="H13" s="136">
        <v>0.05</v>
      </c>
      <c r="I13" s="235">
        <f t="shared" ref="I13:I19" si="0">F13*H13</f>
        <v>50000</v>
      </c>
      <c r="K13" s="50"/>
    </row>
    <row r="14" spans="1:11" ht="12.95" customHeight="1" x14ac:dyDescent="0.2">
      <c r="A14" s="842">
        <v>3</v>
      </c>
      <c r="B14" s="842"/>
      <c r="C14" s="111" t="s">
        <v>20</v>
      </c>
      <c r="D14" s="112" t="s">
        <v>27</v>
      </c>
      <c r="E14" s="163"/>
      <c r="F14" s="178">
        <f>_3Lüftung</f>
        <v>1000000</v>
      </c>
      <c r="G14" s="104"/>
      <c r="H14" s="136">
        <v>0.08</v>
      </c>
      <c r="I14" s="235">
        <f t="shared" si="0"/>
        <v>80000</v>
      </c>
      <c r="K14" s="50"/>
    </row>
    <row r="15" spans="1:11" ht="12.95" customHeight="1" x14ac:dyDescent="0.2">
      <c r="A15" s="842">
        <v>3</v>
      </c>
      <c r="B15" s="842"/>
      <c r="C15" s="111" t="s">
        <v>21</v>
      </c>
      <c r="D15" s="112" t="s">
        <v>28</v>
      </c>
      <c r="E15" s="163"/>
      <c r="F15" s="178">
        <f>_3Elektro</f>
        <v>1500000</v>
      </c>
      <c r="G15" s="104"/>
      <c r="H15" s="136">
        <v>0.05</v>
      </c>
      <c r="I15" s="235">
        <f t="shared" si="0"/>
        <v>75000</v>
      </c>
      <c r="K15" s="50"/>
    </row>
    <row r="16" spans="1:11" ht="12.95" customHeight="1" x14ac:dyDescent="0.2">
      <c r="A16" s="842">
        <v>3</v>
      </c>
      <c r="B16" s="842"/>
      <c r="C16" s="111" t="s">
        <v>22</v>
      </c>
      <c r="D16" s="112" t="s">
        <v>31</v>
      </c>
      <c r="E16" s="163"/>
      <c r="F16" s="178">
        <f>_3IT</f>
        <v>600000</v>
      </c>
      <c r="G16" s="104"/>
      <c r="H16" s="136">
        <v>0</v>
      </c>
      <c r="I16" s="235">
        <f t="shared" si="0"/>
        <v>0</v>
      </c>
      <c r="K16" s="50"/>
    </row>
    <row r="17" spans="1:11" ht="12.95" customHeight="1" x14ac:dyDescent="0.2">
      <c r="A17" s="842">
        <v>3</v>
      </c>
      <c r="B17" s="842"/>
      <c r="C17" s="111" t="s">
        <v>23</v>
      </c>
      <c r="D17" s="112" t="s">
        <v>29</v>
      </c>
      <c r="E17" s="163"/>
      <c r="F17" s="178">
        <f>_3Föte</f>
        <v>1500000</v>
      </c>
      <c r="G17" s="104"/>
      <c r="H17" s="136">
        <v>0.1</v>
      </c>
      <c r="I17" s="235">
        <f t="shared" si="0"/>
        <v>150000</v>
      </c>
      <c r="K17" s="50"/>
    </row>
    <row r="18" spans="1:11" ht="12.95" customHeight="1" x14ac:dyDescent="0.2">
      <c r="A18" s="842">
        <v>3</v>
      </c>
      <c r="B18" s="842"/>
      <c r="C18" s="111" t="s">
        <v>24</v>
      </c>
      <c r="D18" s="112" t="s">
        <v>30</v>
      </c>
      <c r="E18" s="163"/>
      <c r="F18" s="178">
        <f>_3Nutzer</f>
        <v>300000</v>
      </c>
      <c r="G18" s="104"/>
      <c r="H18" s="136">
        <v>0</v>
      </c>
      <c r="I18" s="235">
        <f t="shared" si="0"/>
        <v>0</v>
      </c>
      <c r="K18" s="50"/>
    </row>
    <row r="19" spans="1:11" ht="12.95" customHeight="1" x14ac:dyDescent="0.2">
      <c r="A19" s="842">
        <v>3</v>
      </c>
      <c r="B19" s="842"/>
      <c r="C19" s="111" t="s">
        <v>25</v>
      </c>
      <c r="D19" s="112" t="s">
        <v>8</v>
      </c>
      <c r="E19" s="163"/>
      <c r="F19" s="178">
        <f>_3GA</f>
        <v>300000</v>
      </c>
      <c r="G19" s="104"/>
      <c r="H19" s="136">
        <v>0</v>
      </c>
      <c r="I19" s="236">
        <f t="shared" si="0"/>
        <v>0</v>
      </c>
      <c r="K19" s="50"/>
    </row>
    <row r="20" spans="1:11" ht="2.25" customHeight="1" x14ac:dyDescent="0.2">
      <c r="B20" s="4"/>
      <c r="C20" s="6"/>
      <c r="D20" s="1"/>
      <c r="E20" s="161"/>
      <c r="F20" s="174"/>
      <c r="G20" s="1"/>
      <c r="H20" s="631"/>
      <c r="I20" s="174"/>
      <c r="K20" s="63"/>
    </row>
    <row r="21" spans="1:11" s="11" customFormat="1" ht="12.75" customHeight="1" x14ac:dyDescent="0.2">
      <c r="A21" s="821">
        <v>4</v>
      </c>
      <c r="B21" s="821"/>
      <c r="C21" s="106"/>
      <c r="D21" s="107" t="s">
        <v>2</v>
      </c>
      <c r="E21" s="160">
        <f>F21/_1_9</f>
        <v>0.20187039568687518</v>
      </c>
      <c r="F21" s="179">
        <f>Projektkennwerte!M14</f>
        <v>6500000</v>
      </c>
      <c r="G21" s="104"/>
      <c r="H21" s="135">
        <v>0.05</v>
      </c>
      <c r="I21" s="179">
        <f>F21*H21</f>
        <v>325000</v>
      </c>
      <c r="K21" s="50"/>
    </row>
    <row r="22" spans="1:11" ht="2.25" customHeight="1" x14ac:dyDescent="0.2">
      <c r="B22" s="4"/>
      <c r="C22" s="6"/>
      <c r="D22" s="1"/>
      <c r="E22" s="161"/>
      <c r="F22" s="174"/>
      <c r="G22" s="1"/>
      <c r="H22" s="631"/>
      <c r="I22" s="174"/>
      <c r="K22" s="63"/>
    </row>
    <row r="23" spans="1:11" s="12" customFormat="1" ht="12.95" customHeight="1" x14ac:dyDescent="0.2">
      <c r="A23" s="821">
        <v>5</v>
      </c>
      <c r="B23" s="821"/>
      <c r="C23" s="106"/>
      <c r="D23" s="107" t="s">
        <v>9</v>
      </c>
      <c r="E23" s="160">
        <f>F23/_1_9</f>
        <v>5.1244023520514471E-2</v>
      </c>
      <c r="F23" s="389">
        <f>_5</f>
        <v>1650000</v>
      </c>
      <c r="G23" s="104"/>
      <c r="H23" s="135">
        <v>0</v>
      </c>
      <c r="I23" s="389">
        <f>F23*H23</f>
        <v>0</v>
      </c>
      <c r="K23" s="50"/>
    </row>
    <row r="24" spans="1:11" ht="2.25" customHeight="1" x14ac:dyDescent="0.2">
      <c r="B24" s="4"/>
      <c r="C24" s="6"/>
      <c r="D24" s="1"/>
      <c r="E24" s="161"/>
      <c r="F24" s="174"/>
      <c r="G24" s="1"/>
      <c r="H24" s="631"/>
      <c r="I24" s="174"/>
      <c r="K24" s="63"/>
    </row>
    <row r="25" spans="1:11" s="11" customFormat="1" ht="12.95" customHeight="1" x14ac:dyDescent="0.2">
      <c r="A25" s="821">
        <v>6</v>
      </c>
      <c r="B25" s="821"/>
      <c r="C25" s="106"/>
      <c r="D25" s="107" t="s">
        <v>3</v>
      </c>
      <c r="E25" s="160">
        <f>F25/_1_9</f>
        <v>1.5528491975913475E-2</v>
      </c>
      <c r="F25" s="179">
        <f>Projektkennwerte!M18</f>
        <v>500000</v>
      </c>
      <c r="G25" s="104"/>
      <c r="H25" s="135">
        <v>0</v>
      </c>
      <c r="I25" s="179">
        <f>F25*H25</f>
        <v>0</v>
      </c>
      <c r="K25" s="50"/>
    </row>
    <row r="26" spans="1:11" ht="2.25" customHeight="1" x14ac:dyDescent="0.2">
      <c r="B26" s="4"/>
      <c r="C26" s="6"/>
      <c r="D26" s="1"/>
      <c r="E26" s="161"/>
      <c r="F26" s="174"/>
      <c r="G26" s="1"/>
      <c r="H26" s="631"/>
      <c r="I26" s="174"/>
      <c r="K26" s="63"/>
    </row>
    <row r="27" spans="1:11" s="12" customFormat="1" ht="12.95" customHeight="1" x14ac:dyDescent="0.2">
      <c r="A27" s="821">
        <v>7</v>
      </c>
      <c r="B27" s="821"/>
      <c r="C27" s="106"/>
      <c r="D27" s="107" t="s">
        <v>110</v>
      </c>
      <c r="E27" s="160">
        <f>F27/_1_9</f>
        <v>0.14729944861863917</v>
      </c>
      <c r="F27" s="179">
        <f>Projektkennwerte!M20</f>
        <v>4742876.7985686567</v>
      </c>
      <c r="G27" s="104"/>
      <c r="H27" s="135">
        <v>0</v>
      </c>
      <c r="I27" s="179">
        <f>F27*H27</f>
        <v>0</v>
      </c>
      <c r="K27" s="50"/>
    </row>
    <row r="28" spans="1:11" ht="2.25" customHeight="1" x14ac:dyDescent="0.2">
      <c r="B28" s="4"/>
      <c r="C28" s="6"/>
      <c r="D28" s="1"/>
      <c r="E28" s="161"/>
      <c r="F28" s="174"/>
      <c r="G28" s="1"/>
      <c r="H28" s="631"/>
      <c r="I28" s="174"/>
      <c r="K28" s="63"/>
    </row>
    <row r="29" spans="1:11" s="12" customFormat="1" ht="12.95" customHeight="1" x14ac:dyDescent="0.2">
      <c r="A29" s="821">
        <v>8</v>
      </c>
      <c r="B29" s="821"/>
      <c r="C29" s="106"/>
      <c r="D29" s="107" t="s">
        <v>105</v>
      </c>
      <c r="E29" s="160">
        <f>F29/_1_9</f>
        <v>1.1180514222657702E-3</v>
      </c>
      <c r="F29" s="179">
        <f>Projektkennwerte!M22</f>
        <v>36000</v>
      </c>
      <c r="G29" s="104"/>
      <c r="H29" s="135">
        <v>0</v>
      </c>
      <c r="I29" s="179">
        <f>F29*H29</f>
        <v>0</v>
      </c>
      <c r="K29" s="50"/>
    </row>
    <row r="30" spans="1:11" ht="2.25" customHeight="1" x14ac:dyDescent="0.2">
      <c r="B30" s="4"/>
      <c r="C30" s="6"/>
      <c r="D30" s="1"/>
      <c r="E30" s="161"/>
      <c r="F30" s="174"/>
      <c r="G30" s="1"/>
      <c r="H30" s="631"/>
      <c r="I30" s="174"/>
      <c r="K30" s="63"/>
    </row>
    <row r="31" spans="1:11" s="12" customFormat="1" ht="12.95" customHeight="1" x14ac:dyDescent="0.2">
      <c r="A31" s="821">
        <v>9</v>
      </c>
      <c r="B31" s="821"/>
      <c r="C31" s="106"/>
      <c r="D31" s="107" t="s">
        <v>10</v>
      </c>
      <c r="E31" s="160">
        <f>F31/_1_9</f>
        <v>4.9691174322923123E-2</v>
      </c>
      <c r="F31" s="179">
        <f>Projektkennwerte!M24</f>
        <v>1600000</v>
      </c>
      <c r="G31" s="104"/>
      <c r="H31" s="135">
        <v>0.1</v>
      </c>
      <c r="I31" s="179">
        <f>F31*H31</f>
        <v>160000</v>
      </c>
      <c r="K31" s="50"/>
    </row>
    <row r="32" spans="1:11" ht="12" customHeight="1" x14ac:dyDescent="0.2">
      <c r="B32" s="17"/>
      <c r="C32" s="5"/>
      <c r="D32" s="1"/>
      <c r="E32" s="47"/>
      <c r="F32" s="1"/>
      <c r="H32" s="1"/>
      <c r="I32" s="1"/>
      <c r="K32" s="1"/>
    </row>
    <row r="33" spans="1:13" ht="12.95" customHeight="1" x14ac:dyDescent="0.2">
      <c r="A33" s="538" t="s">
        <v>12</v>
      </c>
      <c r="B33" s="539"/>
      <c r="C33" s="539"/>
      <c r="D33" s="539"/>
      <c r="E33" s="148">
        <f>SUM(E11:E31)</f>
        <v>0.71831315555692943</v>
      </c>
      <c r="F33" s="146">
        <f>SUM(F11+F13+F15+F17+F19+F25+F27+F29+F31)</f>
        <v>19278876.798568659</v>
      </c>
      <c r="H33" s="216"/>
      <c r="I33" s="339">
        <f>SUM(I7:I31)</f>
        <v>9885000</v>
      </c>
      <c r="K33" s="30"/>
    </row>
    <row r="34" spans="1:13" ht="4.5" customHeight="1" x14ac:dyDescent="0.25">
      <c r="B34" s="13"/>
      <c r="C34" s="13"/>
      <c r="D34" s="14"/>
      <c r="E34" s="47"/>
      <c r="F34" s="14"/>
      <c r="G34" s="1"/>
      <c r="H34" s="19"/>
      <c r="I34" s="15"/>
      <c r="J34" s="18"/>
      <c r="K34" s="30"/>
      <c r="L34" s="555"/>
      <c r="M34" s="554"/>
    </row>
    <row r="35" spans="1:13" s="11" customFormat="1" ht="12.95" customHeight="1" x14ac:dyDescent="0.2">
      <c r="A35" s="821"/>
      <c r="B35" s="821"/>
      <c r="C35" s="106" t="s">
        <v>432</v>
      </c>
      <c r="D35" s="107"/>
      <c r="E35" s="803"/>
      <c r="F35" s="389">
        <f>_mvB</f>
        <v>110000</v>
      </c>
      <c r="G35" s="104"/>
      <c r="H35" s="135">
        <v>1</v>
      </c>
      <c r="I35" s="389">
        <f>F35*H35</f>
        <v>110000</v>
      </c>
      <c r="J35" s="50"/>
    </row>
    <row r="36" spans="1:13" ht="4.5" customHeight="1" x14ac:dyDescent="0.2">
      <c r="B36" s="13"/>
      <c r="C36" s="13"/>
      <c r="D36" s="14"/>
      <c r="E36" s="47"/>
      <c r="F36" s="14"/>
      <c r="G36" s="1"/>
      <c r="H36" s="19"/>
      <c r="I36" s="15"/>
      <c r="K36" s="63"/>
    </row>
    <row r="37" spans="1:13" s="20" customFormat="1" ht="13.5" customHeight="1" x14ac:dyDescent="0.25">
      <c r="A37" s="321" t="s">
        <v>32</v>
      </c>
      <c r="B37" s="539"/>
      <c r="C37" s="539"/>
      <c r="D37" s="539"/>
      <c r="E37" s="539"/>
      <c r="F37" s="539"/>
      <c r="G37" s="539"/>
      <c r="H37" s="320"/>
      <c r="I37" s="146">
        <f>SUM(I33:I35)</f>
        <v>9995000</v>
      </c>
      <c r="K37" s="64"/>
    </row>
    <row r="38" spans="1:13" s="21" customFormat="1" ht="13.5" customHeight="1" x14ac:dyDescent="0.25">
      <c r="B38" s="23"/>
      <c r="C38" s="23"/>
      <c r="D38" s="22"/>
      <c r="E38" s="46"/>
      <c r="F38" s="46"/>
      <c r="G38" s="22"/>
      <c r="H38" s="46"/>
      <c r="I38" s="192"/>
      <c r="K38" s="29"/>
    </row>
    <row r="39" spans="1:13" ht="12.75" customHeight="1" x14ac:dyDescent="0.2">
      <c r="A39" s="340" t="s">
        <v>83</v>
      </c>
      <c r="B39" s="341"/>
      <c r="C39" s="341"/>
      <c r="D39" s="341"/>
      <c r="E39" s="341"/>
      <c r="F39" s="341"/>
      <c r="G39" s="341"/>
      <c r="H39" s="341"/>
      <c r="I39" s="342"/>
      <c r="J39" s="308"/>
      <c r="K39" s="18"/>
    </row>
    <row r="40" spans="1:13" ht="4.5" customHeight="1" x14ac:dyDescent="0.2">
      <c r="A40" s="195"/>
      <c r="B40" s="196"/>
      <c r="C40" s="196"/>
      <c r="D40" s="196"/>
      <c r="E40" s="196"/>
      <c r="F40" s="196"/>
      <c r="G40" s="196"/>
      <c r="H40" s="196"/>
      <c r="I40" s="57"/>
      <c r="J40" s="220"/>
      <c r="K40" s="18"/>
    </row>
    <row r="41" spans="1:13" ht="12.75" customHeight="1" x14ac:dyDescent="0.2">
      <c r="A41" s="25"/>
      <c r="B41" s="25"/>
      <c r="C41" s="25"/>
      <c r="D41" s="1"/>
      <c r="E41" s="1"/>
      <c r="F41" s="197" t="s">
        <v>5</v>
      </c>
      <c r="G41" s="201"/>
      <c r="H41" s="198" t="s">
        <v>4</v>
      </c>
      <c r="I41" s="309"/>
      <c r="K41" s="58"/>
    </row>
    <row r="42" spans="1:13" ht="12.75" customHeight="1" x14ac:dyDescent="0.2">
      <c r="B42" s="26" t="s">
        <v>46</v>
      </c>
      <c r="C42" s="60"/>
      <c r="D42" s="51"/>
      <c r="E42" s="51"/>
      <c r="F42" s="151">
        <v>20</v>
      </c>
      <c r="G42" s="328"/>
      <c r="H42" s="199" t="s">
        <v>63</v>
      </c>
      <c r="I42" s="309"/>
      <c r="K42" s="58"/>
    </row>
    <row r="43" spans="1:13" ht="12.75" customHeight="1" x14ac:dyDescent="0.2">
      <c r="B43" s="27" t="s">
        <v>47</v>
      </c>
      <c r="C43" s="61"/>
      <c r="D43" s="52"/>
      <c r="E43" s="52"/>
      <c r="F43" s="151">
        <v>2</v>
      </c>
      <c r="G43" s="329"/>
      <c r="H43" s="200" t="s">
        <v>6</v>
      </c>
      <c r="I43" s="309"/>
      <c r="K43" s="58"/>
    </row>
    <row r="44" spans="1:13" ht="12.75" customHeight="1" x14ac:dyDescent="0.2">
      <c r="B44" s="27" t="s">
        <v>48</v>
      </c>
      <c r="C44" s="61"/>
      <c r="D44" s="52"/>
      <c r="E44" s="52"/>
      <c r="F44" s="151">
        <v>1</v>
      </c>
      <c r="G44" s="329"/>
      <c r="H44" s="200" t="s">
        <v>6</v>
      </c>
      <c r="I44" s="309"/>
      <c r="K44" s="58"/>
    </row>
    <row r="45" spans="1:13" ht="12.75" customHeight="1" x14ac:dyDescent="0.2">
      <c r="B45" s="27" t="s">
        <v>49</v>
      </c>
      <c r="C45" s="52"/>
      <c r="D45" s="52"/>
      <c r="E45" s="52"/>
      <c r="F45" s="151">
        <v>2</v>
      </c>
      <c r="G45" s="329"/>
      <c r="H45" s="200" t="s">
        <v>6</v>
      </c>
      <c r="I45" s="309"/>
      <c r="K45" s="58"/>
    </row>
    <row r="46" spans="1:13" ht="4.5" customHeight="1" x14ac:dyDescent="0.2">
      <c r="A46" s="40"/>
      <c r="B46" s="40"/>
      <c r="C46" s="40"/>
      <c r="D46" s="1"/>
      <c r="E46" s="1"/>
      <c r="F46" s="201"/>
      <c r="G46" s="201"/>
      <c r="H46" s="201"/>
      <c r="I46" s="309"/>
      <c r="K46" s="58"/>
    </row>
    <row r="47" spans="1:13" ht="12.75" customHeight="1" x14ac:dyDescent="0.25">
      <c r="B47" s="27" t="s">
        <v>141</v>
      </c>
      <c r="C47" s="61"/>
      <c r="D47" s="52"/>
      <c r="E47" s="52"/>
      <c r="F47" s="563"/>
      <c r="G47" s="329"/>
      <c r="H47" s="200" t="s">
        <v>184</v>
      </c>
      <c r="I47" s="309"/>
      <c r="J47" s="58"/>
      <c r="K47" s="554"/>
      <c r="L47" s="554"/>
      <c r="M47" s="554"/>
    </row>
    <row r="48" spans="1:13" ht="12.75" customHeight="1" x14ac:dyDescent="0.25">
      <c r="B48" s="27" t="s">
        <v>185</v>
      </c>
      <c r="C48" s="61"/>
      <c r="D48" s="52"/>
      <c r="E48" s="52"/>
      <c r="F48" s="563"/>
      <c r="G48" s="329"/>
      <c r="H48" s="200" t="s">
        <v>184</v>
      </c>
      <c r="I48" s="309"/>
      <c r="J48" s="58"/>
      <c r="K48" s="554"/>
      <c r="L48" s="554"/>
      <c r="M48" s="554"/>
    </row>
    <row r="49" spans="1:13" ht="12.75" customHeight="1" x14ac:dyDescent="0.25">
      <c r="B49" s="27" t="s">
        <v>143</v>
      </c>
      <c r="C49" s="61"/>
      <c r="D49" s="52"/>
      <c r="E49" s="52"/>
      <c r="F49" s="563"/>
      <c r="G49" s="329"/>
      <c r="H49" s="200" t="s">
        <v>173</v>
      </c>
      <c r="I49" s="309"/>
      <c r="J49" s="58"/>
      <c r="K49" s="554"/>
      <c r="L49" s="554"/>
      <c r="M49" s="554"/>
    </row>
    <row r="50" spans="1:13" ht="12.75" customHeight="1" x14ac:dyDescent="0.25">
      <c r="B50" s="27" t="s">
        <v>144</v>
      </c>
      <c r="C50" s="61"/>
      <c r="D50" s="52"/>
      <c r="E50" s="52"/>
      <c r="F50" s="563"/>
      <c r="G50" s="329"/>
      <c r="H50" s="200" t="s">
        <v>173</v>
      </c>
      <c r="I50" s="309"/>
      <c r="J50" s="58"/>
      <c r="K50" s="554"/>
      <c r="L50" s="554"/>
      <c r="M50" s="554"/>
    </row>
    <row r="51" spans="1:13" ht="12.75" customHeight="1" x14ac:dyDescent="0.25">
      <c r="B51" s="27" t="s">
        <v>181</v>
      </c>
      <c r="C51" s="61"/>
      <c r="D51" s="52"/>
      <c r="E51" s="52"/>
      <c r="F51" s="563"/>
      <c r="G51" s="329"/>
      <c r="H51" s="200" t="s">
        <v>149</v>
      </c>
      <c r="I51" s="309"/>
      <c r="J51" s="58"/>
      <c r="K51" s="554"/>
      <c r="L51" s="554"/>
      <c r="M51" s="554"/>
    </row>
    <row r="52" spans="1:13" ht="12.75" customHeight="1" x14ac:dyDescent="0.25">
      <c r="B52" s="27" t="s">
        <v>183</v>
      </c>
      <c r="C52" s="61"/>
      <c r="D52" s="52"/>
      <c r="E52" s="52"/>
      <c r="F52" s="563"/>
      <c r="G52" s="329"/>
      <c r="H52" s="200" t="s">
        <v>173</v>
      </c>
      <c r="I52" s="309"/>
      <c r="J52" s="58"/>
      <c r="K52" s="554"/>
      <c r="L52" s="554"/>
      <c r="M52" s="554"/>
    </row>
    <row r="53" spans="1:13" ht="12.75" customHeight="1" x14ac:dyDescent="0.25">
      <c r="B53" s="27" t="s">
        <v>182</v>
      </c>
      <c r="C53" s="61"/>
      <c r="D53" s="52"/>
      <c r="E53" s="52"/>
      <c r="F53" s="563"/>
      <c r="G53" s="329"/>
      <c r="H53" s="200" t="s">
        <v>6</v>
      </c>
      <c r="I53" s="309"/>
      <c r="J53" s="1"/>
      <c r="K53" s="554"/>
    </row>
    <row r="54" spans="1:13" ht="12.75" customHeight="1" x14ac:dyDescent="0.25">
      <c r="B54" s="27" t="s">
        <v>186</v>
      </c>
      <c r="C54" s="61"/>
      <c r="D54" s="52"/>
      <c r="E54" s="52"/>
      <c r="F54" s="563"/>
      <c r="G54" s="329"/>
      <c r="H54" s="200" t="s">
        <v>184</v>
      </c>
      <c r="I54" s="309"/>
      <c r="J54" s="1"/>
      <c r="K54" s="554"/>
    </row>
    <row r="55" spans="1:13" ht="12.75" customHeight="1" x14ac:dyDescent="0.25">
      <c r="B55" s="27" t="s">
        <v>187</v>
      </c>
      <c r="C55" s="61"/>
      <c r="D55" s="52"/>
      <c r="E55" s="52"/>
      <c r="F55" s="563"/>
      <c r="G55" s="329"/>
      <c r="H55" s="200" t="s">
        <v>184</v>
      </c>
      <c r="I55" s="309"/>
      <c r="J55" s="1"/>
      <c r="K55" s="554"/>
    </row>
    <row r="56" spans="1:13" ht="4.5" customHeight="1" x14ac:dyDescent="0.25">
      <c r="A56" s="40"/>
      <c r="B56" s="40"/>
      <c r="C56" s="1"/>
      <c r="D56" s="203"/>
      <c r="E56" s="203"/>
      <c r="F56" s="203"/>
      <c r="G56" s="327"/>
      <c r="H56" s="53"/>
      <c r="I56" s="309"/>
      <c r="J56" s="1"/>
      <c r="K56" s="555"/>
    </row>
    <row r="57" spans="1:13" ht="12.75" customHeight="1" x14ac:dyDescent="0.2">
      <c r="B57" s="25" t="s">
        <v>45</v>
      </c>
      <c r="C57" s="1"/>
      <c r="D57" s="202"/>
      <c r="E57" s="203"/>
      <c r="F57" s="204">
        <f>SUM(F42:F55)</f>
        <v>25</v>
      </c>
      <c r="G57" s="203"/>
      <c r="H57" s="203"/>
      <c r="I57" s="309"/>
      <c r="K57" s="1"/>
    </row>
    <row r="58" spans="1:13" ht="12.95" customHeight="1" x14ac:dyDescent="0.2">
      <c r="B58" s="40"/>
      <c r="C58" s="1"/>
      <c r="D58" s="203"/>
      <c r="E58" s="203"/>
      <c r="F58" s="203"/>
      <c r="G58" s="203"/>
      <c r="H58" s="203"/>
      <c r="I58" s="309"/>
      <c r="K58" s="1"/>
    </row>
    <row r="59" spans="1:13" ht="12.95" customHeight="1" x14ac:dyDescent="0.2">
      <c r="A59" s="340" t="s">
        <v>171</v>
      </c>
      <c r="B59" s="340"/>
      <c r="C59" s="341"/>
      <c r="D59" s="341"/>
      <c r="E59" s="341"/>
      <c r="F59" s="341"/>
      <c r="G59" s="341"/>
      <c r="H59" s="341"/>
      <c r="I59" s="358"/>
      <c r="K59" s="18"/>
    </row>
    <row r="60" spans="1:13" ht="4.5" customHeight="1" x14ac:dyDescent="0.2">
      <c r="A60" s="205"/>
      <c r="B60" s="205"/>
      <c r="C60" s="205"/>
      <c r="D60" s="205"/>
      <c r="F60" s="8"/>
      <c r="G60" s="42"/>
      <c r="I60" s="1"/>
      <c r="K60" s="18"/>
    </row>
    <row r="61" spans="1:13" ht="14.25" customHeight="1" x14ac:dyDescent="0.2">
      <c r="A61" s="206" t="s">
        <v>11</v>
      </c>
      <c r="B61" s="206"/>
      <c r="C61" s="1"/>
      <c r="F61" s="230">
        <f>I37</f>
        <v>9995000</v>
      </c>
      <c r="G61" s="330"/>
      <c r="I61" s="1"/>
      <c r="K61" s="18"/>
    </row>
    <row r="62" spans="1:13" ht="14.25" customHeight="1" x14ac:dyDescent="0.25">
      <c r="A62" s="28" t="s">
        <v>64</v>
      </c>
      <c r="B62" s="28"/>
      <c r="C62" s="28"/>
      <c r="D62" s="1"/>
      <c r="E62" s="1"/>
      <c r="F62" s="131">
        <f>0.0425*F57+0.83</f>
        <v>1.8925000000000001</v>
      </c>
      <c r="G62" s="132"/>
      <c r="H62" s="155"/>
      <c r="I62" s="405"/>
      <c r="K62" s="18"/>
    </row>
    <row r="63" spans="1:13" ht="14.25" customHeight="1" x14ac:dyDescent="0.25">
      <c r="A63" s="28" t="s">
        <v>66</v>
      </c>
      <c r="B63" s="28"/>
      <c r="C63" s="28"/>
      <c r="D63" s="1"/>
      <c r="E63" s="1"/>
      <c r="F63" s="207">
        <f>ROUND(37.056*F61^(-0.1495)*F62/100,4)</f>
        <v>6.3E-2</v>
      </c>
      <c r="G63" s="406" t="s">
        <v>107</v>
      </c>
      <c r="H63" s="347"/>
      <c r="I63" s="405"/>
      <c r="K63" s="18"/>
    </row>
    <row r="64" spans="1:13" ht="14.25" customHeight="1" x14ac:dyDescent="0.3">
      <c r="A64" s="311" t="s">
        <v>193</v>
      </c>
      <c r="B64" s="25"/>
      <c r="C64" s="25"/>
      <c r="D64" s="312"/>
      <c r="E64" s="208"/>
      <c r="F64" s="323">
        <f>F61*F63</f>
        <v>629685</v>
      </c>
      <c r="G64" s="408" t="s">
        <v>174</v>
      </c>
      <c r="H64" s="258"/>
      <c r="I64" s="326"/>
      <c r="J64" s="15"/>
      <c r="K64" s="18"/>
    </row>
    <row r="65" spans="1:13" ht="12.95" customHeight="1" x14ac:dyDescent="0.2">
      <c r="A65" s="39"/>
      <c r="B65" s="40"/>
      <c r="C65" s="40"/>
      <c r="D65" s="208"/>
      <c r="E65" s="208"/>
      <c r="F65" s="209"/>
      <c r="G65" s="209"/>
      <c r="H65" s="209"/>
      <c r="I65" s="57"/>
      <c r="J65" s="41"/>
      <c r="K65" s="18"/>
    </row>
    <row r="66" spans="1:13" ht="12.95" customHeight="1" x14ac:dyDescent="0.2">
      <c r="A66" s="573" t="s">
        <v>170</v>
      </c>
      <c r="B66" s="573"/>
      <c r="C66" s="573"/>
      <c r="D66" s="573"/>
      <c r="E66" s="573"/>
      <c r="F66" s="573"/>
      <c r="G66" s="573"/>
      <c r="H66" s="573"/>
      <c r="I66" s="573"/>
      <c r="J66" s="41"/>
      <c r="K66" s="18"/>
    </row>
    <row r="67" spans="1:13" ht="4.5" customHeight="1" x14ac:dyDescent="0.2">
      <c r="B67" s="4"/>
      <c r="C67" s="6"/>
      <c r="D67" s="1"/>
      <c r="E67" s="161"/>
      <c r="F67" s="174"/>
      <c r="G67" s="1"/>
      <c r="H67" s="611"/>
      <c r="I67" s="174"/>
      <c r="K67" s="63"/>
    </row>
    <row r="68" spans="1:13" ht="12.75" customHeight="1" x14ac:dyDescent="0.25">
      <c r="A68" s="210" t="s">
        <v>98</v>
      </c>
      <c r="B68" s="210"/>
      <c r="C68" s="211"/>
      <c r="D68" s="1"/>
      <c r="E68" s="324">
        <v>0.02</v>
      </c>
      <c r="F68" s="243">
        <v>0.02</v>
      </c>
      <c r="G68" s="331"/>
      <c r="H68" s="212">
        <v>1</v>
      </c>
      <c r="I68" s="614">
        <f>IF($F$61=0,"-",$F$64*F68)</f>
        <v>12593.7</v>
      </c>
      <c r="J68" s="188"/>
    </row>
    <row r="69" spans="1:13" ht="12.75" customHeight="1" x14ac:dyDescent="0.25">
      <c r="A69" s="210" t="s">
        <v>36</v>
      </c>
      <c r="B69" s="210"/>
      <c r="C69" s="211"/>
      <c r="D69" s="1"/>
      <c r="E69" s="324">
        <v>0.1</v>
      </c>
      <c r="F69" s="244">
        <v>0.1</v>
      </c>
      <c r="G69" s="332"/>
      <c r="H69" s="212">
        <v>2</v>
      </c>
      <c r="I69" s="614">
        <f t="shared" ref="I69:I80" si="1">IF($F$61=0,"-",$F$64*F69)</f>
        <v>62968.5</v>
      </c>
      <c r="J69" s="188"/>
    </row>
    <row r="70" spans="1:13" ht="12.75" customHeight="1" x14ac:dyDescent="0.25">
      <c r="A70" s="210" t="s">
        <v>37</v>
      </c>
      <c r="B70" s="210"/>
      <c r="C70" s="211"/>
      <c r="D70" s="1"/>
      <c r="E70" s="324">
        <v>0.15</v>
      </c>
      <c r="F70" s="244">
        <v>0.15</v>
      </c>
      <c r="G70" s="332"/>
      <c r="H70" s="212">
        <v>3</v>
      </c>
      <c r="I70" s="614">
        <f t="shared" si="1"/>
        <v>94452.75</v>
      </c>
      <c r="J70" s="188"/>
    </row>
    <row r="71" spans="1:13" ht="12.75" customHeight="1" x14ac:dyDescent="0.25">
      <c r="A71" s="210" t="s">
        <v>38</v>
      </c>
      <c r="B71" s="210"/>
      <c r="C71" s="211"/>
      <c r="D71" s="1"/>
      <c r="E71" s="324">
        <v>0.25</v>
      </c>
      <c r="F71" s="244">
        <v>0.25</v>
      </c>
      <c r="G71" s="332"/>
      <c r="H71" s="212">
        <v>4</v>
      </c>
      <c r="I71" s="614">
        <f t="shared" si="1"/>
        <v>157421.25</v>
      </c>
      <c r="J71" s="188"/>
    </row>
    <row r="72" spans="1:13" ht="12.75" customHeight="1" x14ac:dyDescent="0.25">
      <c r="A72" s="210" t="s">
        <v>100</v>
      </c>
      <c r="B72" s="210"/>
      <c r="C72" s="211"/>
      <c r="D72" s="1"/>
      <c r="E72" s="324">
        <v>0.32</v>
      </c>
      <c r="F72" s="244">
        <v>0.32</v>
      </c>
      <c r="G72" s="332"/>
      <c r="H72" s="212">
        <v>5</v>
      </c>
      <c r="I72" s="614">
        <f t="shared" si="1"/>
        <v>201499.2</v>
      </c>
      <c r="J72" s="188"/>
    </row>
    <row r="73" spans="1:13" ht="12.75" customHeight="1" x14ac:dyDescent="0.25">
      <c r="A73" s="210" t="s">
        <v>101</v>
      </c>
      <c r="B73" s="210"/>
      <c r="C73" s="211"/>
      <c r="D73" s="1"/>
      <c r="E73" s="324">
        <v>0.02</v>
      </c>
      <c r="F73" s="244">
        <v>0.02</v>
      </c>
      <c r="G73" s="332"/>
      <c r="H73" s="212">
        <v>6</v>
      </c>
      <c r="I73" s="614">
        <f t="shared" si="1"/>
        <v>12593.7</v>
      </c>
      <c r="J73" s="188"/>
    </row>
    <row r="74" spans="1:13" ht="12.75" customHeight="1" x14ac:dyDescent="0.25">
      <c r="A74" s="210" t="s">
        <v>41</v>
      </c>
      <c r="B74" s="210"/>
      <c r="C74" s="211"/>
      <c r="D74" s="1"/>
      <c r="E74" s="324">
        <v>0</v>
      </c>
      <c r="F74" s="244">
        <v>0</v>
      </c>
      <c r="G74" s="332"/>
      <c r="H74" s="212"/>
      <c r="I74" s="614">
        <f t="shared" si="1"/>
        <v>0</v>
      </c>
      <c r="J74" s="188"/>
    </row>
    <row r="75" spans="1:13" ht="12.75" customHeight="1" x14ac:dyDescent="0.25">
      <c r="A75" s="210" t="s">
        <v>104</v>
      </c>
      <c r="B75" s="210"/>
      <c r="C75" s="211"/>
      <c r="D75" s="1"/>
      <c r="E75" s="324">
        <v>0.05</v>
      </c>
      <c r="F75" s="244">
        <v>0.05</v>
      </c>
      <c r="G75" s="332"/>
      <c r="H75" s="212">
        <v>7</v>
      </c>
      <c r="I75" s="614">
        <f t="shared" si="1"/>
        <v>31484.25</v>
      </c>
      <c r="J75" s="188"/>
    </row>
    <row r="76" spans="1:13" ht="12.75" customHeight="1" x14ac:dyDescent="0.25">
      <c r="A76" s="193" t="s">
        <v>102</v>
      </c>
      <c r="B76" s="193"/>
      <c r="C76" s="211"/>
      <c r="D76" s="1"/>
      <c r="E76" s="324">
        <v>0.09</v>
      </c>
      <c r="F76" s="244">
        <v>0.09</v>
      </c>
      <c r="G76" s="332"/>
      <c r="H76" s="212">
        <v>8</v>
      </c>
      <c r="I76" s="614">
        <f t="shared" si="1"/>
        <v>56671.65</v>
      </c>
      <c r="J76" s="188"/>
    </row>
    <row r="77" spans="1:13" ht="12.75" customHeight="1" x14ac:dyDescent="0.2">
      <c r="A77" s="294" t="s">
        <v>103</v>
      </c>
      <c r="B77" s="294"/>
      <c r="C77" s="295"/>
      <c r="D77" s="1"/>
      <c r="E77" s="324">
        <v>0</v>
      </c>
      <c r="F77" s="293">
        <v>0</v>
      </c>
      <c r="G77" s="612"/>
      <c r="H77" s="296">
        <v>9</v>
      </c>
      <c r="I77" s="614">
        <f t="shared" si="1"/>
        <v>0</v>
      </c>
      <c r="K77" s="709" t="s">
        <v>290</v>
      </c>
    </row>
    <row r="78" spans="1:13" s="303" customFormat="1" ht="12.75" customHeight="1" x14ac:dyDescent="0.25">
      <c r="A78" s="580" t="s">
        <v>164</v>
      </c>
      <c r="B78" s="580"/>
      <c r="C78" s="581"/>
      <c r="E78" s="582"/>
      <c r="F78" s="609">
        <v>0</v>
      </c>
      <c r="H78" s="583"/>
      <c r="I78" s="603">
        <f t="shared" si="1"/>
        <v>0</v>
      </c>
      <c r="K78" s="719" t="s">
        <v>302</v>
      </c>
      <c r="L78" s="302"/>
      <c r="M78" s="302"/>
    </row>
    <row r="79" spans="1:13" s="303" customFormat="1" ht="12.75" customHeight="1" x14ac:dyDescent="0.25">
      <c r="A79" s="580" t="s">
        <v>164</v>
      </c>
      <c r="B79" s="580"/>
      <c r="C79" s="581"/>
      <c r="E79" s="582"/>
      <c r="F79" s="609">
        <v>0</v>
      </c>
      <c r="H79" s="583"/>
      <c r="I79" s="603">
        <f t="shared" si="1"/>
        <v>0</v>
      </c>
      <c r="K79" s="720" t="s">
        <v>303</v>
      </c>
      <c r="L79" s="302"/>
      <c r="M79" s="302"/>
    </row>
    <row r="80" spans="1:13" s="303" customFormat="1" ht="12.75" customHeight="1" x14ac:dyDescent="0.25">
      <c r="A80" s="297" t="s">
        <v>164</v>
      </c>
      <c r="B80" s="297"/>
      <c r="C80" s="298"/>
      <c r="D80" s="299"/>
      <c r="E80" s="300"/>
      <c r="F80" s="610">
        <v>0</v>
      </c>
      <c r="G80" s="299"/>
      <c r="H80" s="314"/>
      <c r="I80" s="596">
        <f t="shared" si="1"/>
        <v>0</v>
      </c>
      <c r="K80" s="712" t="s">
        <v>294</v>
      </c>
      <c r="L80" s="302"/>
      <c r="M80" s="302"/>
    </row>
    <row r="81" spans="1:14" ht="12.75" customHeight="1" x14ac:dyDescent="0.25">
      <c r="A81" s="213" t="s">
        <v>190</v>
      </c>
      <c r="B81" s="193"/>
      <c r="C81" s="28"/>
      <c r="D81" s="1"/>
      <c r="E81" s="384">
        <f>SUM(E68:E77)</f>
        <v>1.0000000000000002</v>
      </c>
      <c r="F81" s="214">
        <f>SUM(F68:F80)</f>
        <v>1.0000000000000002</v>
      </c>
      <c r="G81" s="42"/>
      <c r="H81" s="214"/>
      <c r="I81" s="594">
        <f>SUM(I68:I80)</f>
        <v>629685</v>
      </c>
      <c r="J81" s="59"/>
      <c r="K81" s="712" t="s">
        <v>298</v>
      </c>
      <c r="L81" s="556"/>
      <c r="M81" s="556"/>
    </row>
    <row r="82" spans="1:14" ht="12.75" customHeight="1" x14ac:dyDescent="0.25">
      <c r="F82" s="139"/>
      <c r="G82" s="333"/>
      <c r="J82" s="188"/>
    </row>
    <row r="83" spans="1:14" ht="12.75" customHeight="1" x14ac:dyDescent="0.2">
      <c r="A83" s="398" t="s">
        <v>172</v>
      </c>
      <c r="B83" s="398"/>
      <c r="C83" s="398"/>
      <c r="D83" s="398"/>
      <c r="E83" s="398"/>
      <c r="F83" s="398"/>
      <c r="G83" s="398"/>
      <c r="H83" s="398"/>
      <c r="I83" s="398"/>
      <c r="J83" s="147"/>
      <c r="K83" s="3"/>
      <c r="L83" s="143"/>
      <c r="M83" s="143"/>
    </row>
    <row r="84" spans="1:14" s="32" customFormat="1" ht="4.5" customHeight="1" x14ac:dyDescent="0.2">
      <c r="B84" s="33"/>
      <c r="C84" s="34"/>
      <c r="D84" s="34"/>
      <c r="E84" s="65"/>
      <c r="F84" s="67"/>
      <c r="G84" s="93"/>
      <c r="H84" s="93"/>
      <c r="I84" s="119"/>
      <c r="K84" s="36"/>
    </row>
    <row r="85" spans="1:14" ht="12.75" customHeight="1" x14ac:dyDescent="0.3">
      <c r="A85" s="311" t="s">
        <v>65</v>
      </c>
      <c r="B85" s="392"/>
      <c r="C85" s="392"/>
      <c r="D85" s="392"/>
      <c r="E85" s="316"/>
      <c r="F85" s="399"/>
      <c r="G85" s="828"/>
      <c r="H85" s="829"/>
      <c r="I85" s="599">
        <f>I81</f>
        <v>629685</v>
      </c>
      <c r="J85" s="392"/>
      <c r="K85" s="393"/>
      <c r="L85" s="393"/>
      <c r="M85" s="393"/>
    </row>
    <row r="86" spans="1:14" ht="12.75" customHeight="1" x14ac:dyDescent="0.25">
      <c r="A86" s="48" t="s">
        <v>113</v>
      </c>
      <c r="F86" s="390">
        <v>0</v>
      </c>
      <c r="G86" s="572"/>
      <c r="H86" s="391">
        <v>0</v>
      </c>
      <c r="I86" s="599">
        <f>F86*H86</f>
        <v>0</v>
      </c>
      <c r="L86" s="387"/>
      <c r="M86" s="387"/>
      <c r="N86" s="44"/>
    </row>
    <row r="87" spans="1:14" s="32" customFormat="1" ht="4.5" customHeight="1" x14ac:dyDescent="0.2">
      <c r="B87" s="33"/>
      <c r="C87" s="34"/>
      <c r="D87" s="34"/>
      <c r="E87" s="65"/>
      <c r="F87" s="67"/>
      <c r="G87" s="93"/>
      <c r="H87" s="93"/>
      <c r="I87" s="119"/>
      <c r="K87" s="36"/>
    </row>
    <row r="88" spans="1:14" s="32" customFormat="1" ht="12.75" x14ac:dyDescent="0.2">
      <c r="A88" s="125" t="s">
        <v>194</v>
      </c>
      <c r="B88" s="126"/>
      <c r="C88" s="127"/>
      <c r="D88" s="127"/>
      <c r="E88" s="128"/>
      <c r="F88" s="140"/>
      <c r="G88" s="128"/>
      <c r="H88" s="128"/>
      <c r="I88" s="130">
        <f>I85+I86</f>
        <v>629685</v>
      </c>
      <c r="K88" s="36"/>
    </row>
    <row r="89" spans="1:14" s="32" customFormat="1" ht="4.5" customHeight="1" x14ac:dyDescent="0.2">
      <c r="B89" s="33"/>
      <c r="C89" s="34"/>
      <c r="D89" s="34"/>
      <c r="E89" s="65"/>
      <c r="F89" s="67"/>
      <c r="G89" s="93"/>
      <c r="H89" s="93"/>
      <c r="I89" s="119"/>
      <c r="K89" s="36"/>
    </row>
    <row r="90" spans="1:14" s="32" customFormat="1" ht="12.75" x14ac:dyDescent="0.2">
      <c r="A90" s="68" t="s">
        <v>13</v>
      </c>
      <c r="B90" s="33"/>
      <c r="C90" s="34"/>
      <c r="D90" s="34"/>
      <c r="E90" s="76"/>
      <c r="F90" s="239">
        <v>0.04</v>
      </c>
      <c r="G90" s="334"/>
      <c r="H90" s="94"/>
      <c r="I90" s="120">
        <f>ROUND(I88*F90,2)</f>
        <v>25187.4</v>
      </c>
      <c r="K90" s="36"/>
    </row>
    <row r="91" spans="1:14" s="32" customFormat="1" ht="3" customHeight="1" x14ac:dyDescent="0.2">
      <c r="A91" s="69"/>
      <c r="B91" s="70"/>
      <c r="C91" s="71"/>
      <c r="D91" s="71"/>
      <c r="E91" s="77"/>
      <c r="F91" s="240"/>
      <c r="G91" s="249"/>
      <c r="H91" s="95"/>
      <c r="I91" s="121"/>
      <c r="K91" s="36"/>
    </row>
    <row r="92" spans="1:14" s="32" customFormat="1" ht="3" customHeight="1" x14ac:dyDescent="0.2">
      <c r="B92" s="33"/>
      <c r="C92" s="34"/>
      <c r="D92" s="34"/>
      <c r="E92" s="79"/>
      <c r="F92" s="241"/>
      <c r="G92" s="335"/>
      <c r="H92" s="96"/>
      <c r="I92" s="119"/>
      <c r="K92" s="36"/>
    </row>
    <row r="93" spans="1:14" s="32" customFormat="1" ht="12.75" x14ac:dyDescent="0.2">
      <c r="A93" s="394" t="s">
        <v>195</v>
      </c>
      <c r="B93" s="395"/>
      <c r="C93" s="396"/>
      <c r="D93" s="396"/>
      <c r="E93" s="363"/>
      <c r="F93" s="362"/>
      <c r="G93" s="362"/>
      <c r="H93" s="360"/>
      <c r="I93" s="397">
        <f>I88+I90</f>
        <v>654872.4</v>
      </c>
      <c r="K93" s="36"/>
    </row>
    <row r="94" spans="1:14" s="32" customFormat="1" ht="4.5" customHeight="1" x14ac:dyDescent="0.2">
      <c r="A94" s="73"/>
      <c r="B94" s="74"/>
      <c r="C94" s="75"/>
      <c r="D94" s="75"/>
      <c r="E94" s="35"/>
      <c r="F94" s="238"/>
      <c r="G94" s="336"/>
      <c r="H94" s="94"/>
      <c r="I94" s="122"/>
      <c r="K94" s="36"/>
    </row>
    <row r="95" spans="1:14" s="32" customFormat="1" ht="12.75" x14ac:dyDescent="0.2">
      <c r="A95" s="159" t="s">
        <v>150</v>
      </c>
      <c r="B95" s="74"/>
      <c r="C95" s="75"/>
      <c r="D95" s="75"/>
      <c r="E95" s="35"/>
      <c r="F95" s="404">
        <v>0</v>
      </c>
      <c r="G95" s="94"/>
      <c r="H95" s="37"/>
      <c r="I95" s="169">
        <f>I93*F95</f>
        <v>0</v>
      </c>
      <c r="K95" s="36"/>
    </row>
    <row r="96" spans="1:14" s="32" customFormat="1" ht="3" customHeight="1" x14ac:dyDescent="0.2">
      <c r="A96" s="69"/>
      <c r="B96" s="70"/>
      <c r="C96" s="71"/>
      <c r="D96" s="71"/>
      <c r="E96" s="77"/>
      <c r="F96" s="240"/>
      <c r="G96" s="249"/>
      <c r="H96" s="95"/>
      <c r="I96" s="121"/>
      <c r="K96" s="36"/>
    </row>
    <row r="97" spans="1:11" s="32" customFormat="1" ht="3" customHeight="1" x14ac:dyDescent="0.2">
      <c r="B97" s="33"/>
      <c r="C97" s="34"/>
      <c r="D97" s="34"/>
      <c r="E97" s="79"/>
      <c r="F97" s="241"/>
      <c r="G97" s="335"/>
      <c r="H97" s="96"/>
      <c r="I97" s="119"/>
      <c r="K97" s="36"/>
    </row>
    <row r="98" spans="1:11" s="32" customFormat="1" ht="12.75" x14ac:dyDescent="0.2">
      <c r="A98" s="400" t="s">
        <v>196</v>
      </c>
      <c r="B98" s="401"/>
      <c r="C98" s="402"/>
      <c r="D98" s="402"/>
      <c r="E98" s="363"/>
      <c r="F98" s="362"/>
      <c r="G98" s="362"/>
      <c r="H98" s="360"/>
      <c r="I98" s="403">
        <f>I93+I95</f>
        <v>654872.4</v>
      </c>
      <c r="K98" s="36"/>
    </row>
    <row r="99" spans="1:11" s="32" customFormat="1" ht="4.5" customHeight="1" x14ac:dyDescent="0.2">
      <c r="A99" s="73"/>
      <c r="B99" s="74"/>
      <c r="C99" s="75"/>
      <c r="D99" s="75"/>
      <c r="E99" s="35"/>
      <c r="F99" s="238"/>
      <c r="G99" s="336"/>
      <c r="H99" s="94"/>
      <c r="I99" s="122"/>
      <c r="K99" s="36"/>
    </row>
    <row r="100" spans="1:11" s="32" customFormat="1" ht="12.75" x14ac:dyDescent="0.2">
      <c r="A100" s="32" t="s">
        <v>14</v>
      </c>
      <c r="B100" s="33"/>
      <c r="D100" s="34"/>
      <c r="E100" s="72"/>
      <c r="F100" s="38">
        <v>0.2</v>
      </c>
      <c r="G100" s="38"/>
      <c r="H100" s="38"/>
      <c r="I100" s="123">
        <f>ROUND(I98*F100,2)</f>
        <v>130974.48</v>
      </c>
      <c r="K100" s="36"/>
    </row>
    <row r="101" spans="1:11" s="32" customFormat="1" ht="3" customHeight="1" x14ac:dyDescent="0.2">
      <c r="A101" s="37"/>
      <c r="B101" s="231"/>
      <c r="C101" s="78"/>
      <c r="D101" s="78"/>
      <c r="E101" s="72"/>
      <c r="F101" s="67"/>
      <c r="G101" s="93"/>
      <c r="H101" s="93"/>
      <c r="I101" s="124"/>
      <c r="K101" s="36"/>
    </row>
    <row r="102" spans="1:11" s="37" customFormat="1" ht="12.75" x14ac:dyDescent="0.2">
      <c r="A102" s="223" t="s">
        <v>197</v>
      </c>
      <c r="B102" s="232"/>
      <c r="C102" s="224"/>
      <c r="D102" s="224"/>
      <c r="E102" s="225"/>
      <c r="F102" s="227"/>
      <c r="G102" s="227"/>
      <c r="H102" s="227"/>
      <c r="I102" s="228">
        <f>SUM(I98:I100)</f>
        <v>785846.88</v>
      </c>
      <c r="K102" s="36"/>
    </row>
    <row r="103" spans="1:11" ht="5.0999999999999996" customHeight="1" x14ac:dyDescent="0.2">
      <c r="F103" s="8"/>
      <c r="G103" s="42"/>
    </row>
  </sheetData>
  <mergeCells count="20">
    <mergeCell ref="A11:B11"/>
    <mergeCell ref="H2:I2"/>
    <mergeCell ref="A7:B7"/>
    <mergeCell ref="A9:B9"/>
    <mergeCell ref="A12:B12"/>
    <mergeCell ref="G85:H85"/>
    <mergeCell ref="A29:B29"/>
    <mergeCell ref="A15:B15"/>
    <mergeCell ref="A21:B21"/>
    <mergeCell ref="A13:B13"/>
    <mergeCell ref="A23:B23"/>
    <mergeCell ref="A31:B31"/>
    <mergeCell ref="A17:B17"/>
    <mergeCell ref="A16:B16"/>
    <mergeCell ref="A25:B25"/>
    <mergeCell ref="A19:B19"/>
    <mergeCell ref="A18:B18"/>
    <mergeCell ref="A27:B27"/>
    <mergeCell ref="A14:B14"/>
    <mergeCell ref="A35:B35"/>
  </mergeCells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&amp;L&amp;"Arial,Fett"&amp;10&amp;K00-045Vergabemodelle&amp;R&amp;"Arial,Fett"&amp;10&amp;K00-046Vertrag Generalplanung - Anhang 3</oddHeader>
    <oddFooter>&amp;L&amp;"Arial,Fett"&amp;9&amp;K01+015Leitfaden Vergabe technische Beratung &amp; Planung &amp;R&amp;"Arial,Standard"&amp;9&amp;K01+015 Juni 2018                              Seite &amp;P von &amp;N</oddFooter>
  </headerFooter>
  <rowBreaks count="1" manualBreakCount="1">
    <brk id="10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79</vt:i4>
      </vt:variant>
    </vt:vector>
  </HeadingPairs>
  <TitlesOfParts>
    <vt:vector size="100" baseType="lpstr">
      <vt:lpstr>Projektkennwerte</vt:lpstr>
      <vt:lpstr>GP2aNEU</vt:lpstr>
      <vt:lpstr>GP2a</vt:lpstr>
      <vt:lpstr>GP2b Mgt.</vt:lpstr>
      <vt:lpstr>GP2b Mgt.NEU</vt:lpstr>
      <vt:lpstr>OA</vt:lpstr>
      <vt:lpstr>ED</vt:lpstr>
      <vt:lpstr>FA</vt:lpstr>
      <vt:lpstr>TW</vt:lpstr>
      <vt:lpstr>BPH-Th</vt:lpstr>
      <vt:lpstr>BPH-Schall</vt:lpstr>
      <vt:lpstr>BPH-akustik</vt:lpstr>
      <vt:lpstr>Brand</vt:lpstr>
      <vt:lpstr>Brand AHO</vt:lpstr>
      <vt:lpstr>TA_HKLS</vt:lpstr>
      <vt:lpstr>TA_ELT</vt:lpstr>
      <vt:lpstr>TA_FÖTE</vt:lpstr>
      <vt:lpstr>TA_nutzung</vt:lpstr>
      <vt:lpstr>TA_MT</vt:lpstr>
      <vt:lpstr>TA_MSR</vt:lpstr>
      <vt:lpstr>Summenblatt</vt:lpstr>
      <vt:lpstr>_0</vt:lpstr>
      <vt:lpstr>_1</vt:lpstr>
      <vt:lpstr>_1_6</vt:lpstr>
      <vt:lpstr>_1_9</vt:lpstr>
      <vt:lpstr>_2</vt:lpstr>
      <vt:lpstr>_2_4</vt:lpstr>
      <vt:lpstr>_3</vt:lpstr>
      <vt:lpstr>_3Elektro</vt:lpstr>
      <vt:lpstr>_3Föte</vt:lpstr>
      <vt:lpstr>_3GA</vt:lpstr>
      <vt:lpstr>_3Heizung</vt:lpstr>
      <vt:lpstr>_3IT</vt:lpstr>
      <vt:lpstr>_3Lüftung</vt:lpstr>
      <vt:lpstr>_3Nutzer</vt:lpstr>
      <vt:lpstr>_3Sanitär</vt:lpstr>
      <vt:lpstr>_4</vt:lpstr>
      <vt:lpstr>_5</vt:lpstr>
      <vt:lpstr>_5EinbauM</vt:lpstr>
      <vt:lpstr>_5Nutzer</vt:lpstr>
      <vt:lpstr>_5SerienM</vt:lpstr>
      <vt:lpstr>_5Übers</vt:lpstr>
      <vt:lpstr>_6</vt:lpstr>
      <vt:lpstr>_7</vt:lpstr>
      <vt:lpstr>_8</vt:lpstr>
      <vt:lpstr>_9</vt:lpstr>
      <vt:lpstr>_BPH_akustik</vt:lpstr>
      <vt:lpstr>_BPH_Schall</vt:lpstr>
      <vt:lpstr>_BPH_Th</vt:lpstr>
      <vt:lpstr>_Brand</vt:lpstr>
      <vt:lpstr>_Brand_AHO</vt:lpstr>
      <vt:lpstr>_ED</vt:lpstr>
      <vt:lpstr>_FA</vt:lpstr>
      <vt:lpstr>_GP2aNeu</vt:lpstr>
      <vt:lpstr>_GP2b_Mgt.NEU</vt:lpstr>
      <vt:lpstr>_mvB</vt:lpstr>
      <vt:lpstr>_OA</vt:lpstr>
      <vt:lpstr>_TA_ELT</vt:lpstr>
      <vt:lpstr>_TA_FÖTE</vt:lpstr>
      <vt:lpstr>_TA_HKLS</vt:lpstr>
      <vt:lpstr>_TA_MSR</vt:lpstr>
      <vt:lpstr>_TA_MT</vt:lpstr>
      <vt:lpstr>_TA_Nutzer</vt:lpstr>
      <vt:lpstr>_TW</vt:lpstr>
      <vt:lpstr>'BPH-akustik'!Druckbereich</vt:lpstr>
      <vt:lpstr>'BPH-Schall'!Druckbereich</vt:lpstr>
      <vt:lpstr>'BPH-Th'!Druckbereich</vt:lpstr>
      <vt:lpstr>Brand!Druckbereich</vt:lpstr>
      <vt:lpstr>'Brand AHO'!Druckbereich</vt:lpstr>
      <vt:lpstr>ED!Druckbereich</vt:lpstr>
      <vt:lpstr>FA!Druckbereich</vt:lpstr>
      <vt:lpstr>GP2a!Druckbereich</vt:lpstr>
      <vt:lpstr>'GP2b Mgt.'!Druckbereich</vt:lpstr>
      <vt:lpstr>'GP2b Mgt.NEU'!Druckbereich</vt:lpstr>
      <vt:lpstr>OA!Druckbereich</vt:lpstr>
      <vt:lpstr>Projektkennwerte!Druckbereich</vt:lpstr>
      <vt:lpstr>Summenblatt!Druckbereich</vt:lpstr>
      <vt:lpstr>TA_ELT!Druckbereich</vt:lpstr>
      <vt:lpstr>TA_FÖTE!Druckbereich</vt:lpstr>
      <vt:lpstr>TA_HKLS!Druckbereich</vt:lpstr>
      <vt:lpstr>TA_MSR!Druckbereich</vt:lpstr>
      <vt:lpstr>TA_MT!Druckbereich</vt:lpstr>
      <vt:lpstr>TA_nutzung!Druckbereich</vt:lpstr>
      <vt:lpstr>TW!Druckbereich</vt:lpstr>
      <vt:lpstr>'BPH-akustik'!Drucktitel</vt:lpstr>
      <vt:lpstr>'BPH-Schall'!Drucktitel</vt:lpstr>
      <vt:lpstr>'BPH-Th'!Drucktitel</vt:lpstr>
      <vt:lpstr>'Brand AHO'!Drucktitel</vt:lpstr>
      <vt:lpstr>ED!Drucktitel</vt:lpstr>
      <vt:lpstr>GP2a!Drucktitel</vt:lpstr>
      <vt:lpstr>GP2aNEU!Drucktitel</vt:lpstr>
      <vt:lpstr>'GP2b Mgt.'!Drucktitel</vt:lpstr>
      <vt:lpstr>'GP2b Mgt.NEU'!Drucktitel</vt:lpstr>
      <vt:lpstr>TA_ELT!Drucktitel</vt:lpstr>
      <vt:lpstr>TA_FÖTE!Drucktitel</vt:lpstr>
      <vt:lpstr>TA_HKLS!Drucktitel</vt:lpstr>
      <vt:lpstr>TA_MSR!Drucktitel</vt:lpstr>
      <vt:lpstr>TA_MT!Drucktitel</vt:lpstr>
      <vt:lpstr>TA_nutzung!Drucktitel</vt:lpstr>
      <vt:lpstr>TW!Drucktitel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hc</cp:lastModifiedBy>
  <cp:lastPrinted>2018-08-20T13:18:54Z</cp:lastPrinted>
  <dcterms:created xsi:type="dcterms:W3CDTF">2009-05-04T08:45:42Z</dcterms:created>
  <dcterms:modified xsi:type="dcterms:W3CDTF">2018-08-20T13:19:42Z</dcterms:modified>
</cp:coreProperties>
</file>